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4-25/"/>
    </mc:Choice>
  </mc:AlternateContent>
  <xr:revisionPtr revIDLastSave="27" documentId="8_{A2EF1550-C730-48F1-8A91-BD27B7EAD50D}" xr6:coauthVersionLast="47" xr6:coauthVersionMax="47" xr10:uidLastSave="{68CB89C3-D0A3-470F-90F7-FB76A81BD159}"/>
  <bookViews>
    <workbookView xWindow="-108" yWindow="-108" windowWidth="23256" windowHeight="12576" activeTab="1" xr2:uid="{90B392CA-34F5-4D2E-BFBF-6ED576880F90}"/>
  </bookViews>
  <sheets>
    <sheet name="Monthly monitoring &amp; reconcilia" sheetId="1" r:id="rId1"/>
    <sheet name="Reserves" sheetId="3" r:id="rId2"/>
    <sheet name="VA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E32" i="1"/>
  <c r="E52" i="1"/>
  <c r="E19" i="1"/>
  <c r="D19" i="1"/>
  <c r="D52" i="1"/>
  <c r="D42" i="2" l="1"/>
  <c r="D26" i="2"/>
  <c r="H52" i="1"/>
  <c r="H27" i="1"/>
  <c r="H19" i="1"/>
  <c r="H17" i="1"/>
  <c r="H25" i="1"/>
  <c r="H33" i="1"/>
  <c r="G19" i="1"/>
  <c r="G52" i="1"/>
  <c r="G53" i="1"/>
  <c r="G27" i="1"/>
  <c r="G32" i="1"/>
  <c r="G30" i="1"/>
  <c r="G24" i="1"/>
  <c r="G21" i="1"/>
  <c r="G29" i="1"/>
  <c r="G18" i="1"/>
  <c r="M11" i="2" l="1"/>
  <c r="C19" i="1"/>
  <c r="F10" i="3" l="1"/>
  <c r="F27" i="1"/>
  <c r="F44" i="1"/>
  <c r="F17" i="1"/>
  <c r="F19" i="1"/>
  <c r="F18" i="1"/>
  <c r="F52" i="1"/>
  <c r="O26" i="3"/>
  <c r="N24" i="3"/>
  <c r="N28" i="3" s="1"/>
  <c r="M24" i="3"/>
  <c r="M28" i="3" s="1"/>
  <c r="L24" i="3"/>
  <c r="L28" i="3" s="1"/>
  <c r="K24" i="3"/>
  <c r="K28" i="3" s="1"/>
  <c r="J24" i="3"/>
  <c r="J28" i="3" s="1"/>
  <c r="I24" i="3"/>
  <c r="I28" i="3" s="1"/>
  <c r="H24" i="3"/>
  <c r="H28" i="3" s="1"/>
  <c r="G24" i="3"/>
  <c r="G28" i="3" s="1"/>
  <c r="F24" i="3"/>
  <c r="F28" i="3" s="1"/>
  <c r="E24" i="3"/>
  <c r="E28" i="3" s="1"/>
  <c r="C24" i="3"/>
  <c r="C28" i="3" s="1"/>
  <c r="B24" i="3"/>
  <c r="B28" i="3" s="1"/>
  <c r="O22" i="3"/>
  <c r="O20" i="3"/>
  <c r="O18" i="3"/>
  <c r="O16" i="3"/>
  <c r="O14" i="3"/>
  <c r="O12" i="3"/>
  <c r="D10" i="3"/>
  <c r="D24" i="3" s="1"/>
  <c r="D28" i="3" s="1"/>
  <c r="C10" i="3"/>
  <c r="O10" i="3" s="1"/>
  <c r="O42" i="1"/>
  <c r="P42" i="1" s="1"/>
  <c r="D20" i="2"/>
  <c r="E17" i="1"/>
  <c r="O43" i="1"/>
  <c r="P43" i="1" s="1"/>
  <c r="O28" i="1"/>
  <c r="P28" i="1" s="1"/>
  <c r="D15" i="2"/>
  <c r="C23" i="1"/>
  <c r="O38" i="1"/>
  <c r="P38" i="1" s="1"/>
  <c r="D10" i="2"/>
  <c r="O35" i="1"/>
  <c r="P35" i="1" s="1"/>
  <c r="C27" i="1"/>
  <c r="O72" i="1"/>
  <c r="O39" i="1"/>
  <c r="O40" i="1"/>
  <c r="P40" i="1" s="1"/>
  <c r="O41" i="1"/>
  <c r="O9" i="1"/>
  <c r="O10" i="1"/>
  <c r="O11" i="1"/>
  <c r="P11" i="1" s="1"/>
  <c r="C44" i="1"/>
  <c r="C18" i="1"/>
  <c r="C30" i="1"/>
  <c r="C31" i="1"/>
  <c r="C17" i="1"/>
  <c r="C60" i="1"/>
  <c r="C12" i="1"/>
  <c r="O12" i="1" s="1"/>
  <c r="P12" i="1" s="1"/>
  <c r="C13" i="1"/>
  <c r="O24" i="3" l="1"/>
  <c r="O28" i="3" s="1"/>
  <c r="O44" i="1"/>
  <c r="P44" i="1" s="1"/>
  <c r="H86" i="2"/>
  <c r="H78" i="2"/>
  <c r="H68" i="2"/>
  <c r="H62" i="2"/>
  <c r="H56" i="2"/>
  <c r="H48" i="2"/>
  <c r="H42" i="2"/>
  <c r="H34" i="2"/>
  <c r="H26" i="2"/>
  <c r="H20" i="2"/>
  <c r="H15" i="2"/>
  <c r="H10" i="2"/>
  <c r="D86" i="2"/>
  <c r="D78" i="2"/>
  <c r="D68" i="2"/>
  <c r="D62" i="2"/>
  <c r="D56" i="2"/>
  <c r="D48" i="2"/>
  <c r="D34" i="2"/>
  <c r="D89" i="2" l="1"/>
  <c r="C54" i="1" l="1"/>
  <c r="C70" i="1" s="1"/>
  <c r="O77" i="1"/>
  <c r="N77" i="1"/>
  <c r="M77" i="1"/>
  <c r="L77" i="1"/>
  <c r="K77" i="1"/>
  <c r="J77" i="1"/>
  <c r="I77" i="1"/>
  <c r="H77" i="1"/>
  <c r="G77" i="1"/>
  <c r="F77" i="1"/>
  <c r="C77" i="1"/>
  <c r="E77" i="1"/>
  <c r="D77" i="1"/>
  <c r="B77" i="1"/>
  <c r="C67" i="1" s="1"/>
  <c r="N71" i="1"/>
  <c r="M71" i="1"/>
  <c r="L71" i="1"/>
  <c r="K71" i="1"/>
  <c r="J71" i="1"/>
  <c r="I71" i="1"/>
  <c r="H71" i="1"/>
  <c r="G71" i="1"/>
  <c r="F71" i="1"/>
  <c r="E71" i="1"/>
  <c r="D71" i="1"/>
  <c r="P64" i="1"/>
  <c r="N64" i="1"/>
  <c r="M64" i="1"/>
  <c r="K64" i="1"/>
  <c r="J64" i="1"/>
  <c r="I64" i="1"/>
  <c r="H64" i="1"/>
  <c r="G64" i="1"/>
  <c r="F64" i="1"/>
  <c r="E64" i="1"/>
  <c r="D64" i="1"/>
  <c r="B64" i="1"/>
  <c r="O61" i="1"/>
  <c r="O60" i="1"/>
  <c r="P54" i="1"/>
  <c r="M54" i="1"/>
  <c r="M70" i="1" s="1"/>
  <c r="L54" i="1"/>
  <c r="L70" i="1" s="1"/>
  <c r="K54" i="1"/>
  <c r="K70" i="1" s="1"/>
  <c r="H54" i="1"/>
  <c r="H70" i="1" s="1"/>
  <c r="G54" i="1"/>
  <c r="G70" i="1" s="1"/>
  <c r="B54" i="1"/>
  <c r="O53" i="1"/>
  <c r="N54" i="1"/>
  <c r="N70" i="1" s="1"/>
  <c r="J54" i="1"/>
  <c r="J70" i="1" s="1"/>
  <c r="I54" i="1"/>
  <c r="I70" i="1" s="1"/>
  <c r="F54" i="1"/>
  <c r="F70" i="1" s="1"/>
  <c r="E54" i="1"/>
  <c r="E70" i="1" s="1"/>
  <c r="D54" i="1"/>
  <c r="D70" i="1" s="1"/>
  <c r="B46" i="1"/>
  <c r="O45" i="1"/>
  <c r="P45" i="1" s="1"/>
  <c r="P41" i="1"/>
  <c r="P39" i="1"/>
  <c r="O37" i="1"/>
  <c r="P37" i="1" s="1"/>
  <c r="O36" i="1"/>
  <c r="P36" i="1" s="1"/>
  <c r="O34" i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0" i="1"/>
  <c r="P20" i="1" s="1"/>
  <c r="L46" i="1"/>
  <c r="L69" i="1" s="1"/>
  <c r="K46" i="1"/>
  <c r="K69" i="1" s="1"/>
  <c r="H46" i="1"/>
  <c r="H69" i="1" s="1"/>
  <c r="F46" i="1"/>
  <c r="F69" i="1" s="1"/>
  <c r="E46" i="1"/>
  <c r="E69" i="1" s="1"/>
  <c r="D46" i="1"/>
  <c r="D69" i="1" s="1"/>
  <c r="O19" i="1"/>
  <c r="P19" i="1" s="1"/>
  <c r="I46" i="1"/>
  <c r="I69" i="1" s="1"/>
  <c r="O18" i="1"/>
  <c r="P18" i="1" s="1"/>
  <c r="N46" i="1"/>
  <c r="N69" i="1" s="1"/>
  <c r="M46" i="1"/>
  <c r="M69" i="1" s="1"/>
  <c r="J46" i="1"/>
  <c r="J69" i="1" s="1"/>
  <c r="G46" i="1"/>
  <c r="G69" i="1" s="1"/>
  <c r="C46" i="1"/>
  <c r="C69" i="1" s="1"/>
  <c r="M14" i="1"/>
  <c r="M68" i="1" s="1"/>
  <c r="J14" i="1"/>
  <c r="J68" i="1" s="1"/>
  <c r="I14" i="1"/>
  <c r="I68" i="1" s="1"/>
  <c r="F14" i="1"/>
  <c r="F68" i="1" s="1"/>
  <c r="E14" i="1"/>
  <c r="E68" i="1" s="1"/>
  <c r="D14" i="1"/>
  <c r="D68" i="1" s="1"/>
  <c r="B14" i="1"/>
  <c r="O13" i="1"/>
  <c r="P13" i="1" s="1"/>
  <c r="P10" i="1"/>
  <c r="K14" i="1"/>
  <c r="K68" i="1" s="1"/>
  <c r="P9" i="1"/>
  <c r="L14" i="1"/>
  <c r="L68" i="1" s="1"/>
  <c r="G14" i="1"/>
  <c r="G68" i="1" s="1"/>
  <c r="O8" i="1"/>
  <c r="P8" i="1" s="1"/>
  <c r="H14" i="1"/>
  <c r="H68" i="1" s="1"/>
  <c r="C14" i="1"/>
  <c r="C68" i="1" s="1"/>
  <c r="B70" i="1" l="1"/>
  <c r="O64" i="1"/>
  <c r="P14" i="1"/>
  <c r="N14" i="1"/>
  <c r="N68" i="1" s="1"/>
  <c r="O52" i="1"/>
  <c r="O54" i="1" s="1"/>
  <c r="O14" i="1"/>
  <c r="C64" i="1"/>
  <c r="C71" i="1"/>
  <c r="C72" i="1" s="1"/>
  <c r="O17" i="1"/>
  <c r="B69" i="1" l="1"/>
  <c r="C79" i="1"/>
  <c r="D67" i="1"/>
  <c r="D72" i="1" s="1"/>
  <c r="O46" i="1"/>
  <c r="P17" i="1"/>
  <c r="P46" i="1" s="1"/>
  <c r="O79" i="1" l="1"/>
  <c r="E67" i="1"/>
  <c r="E72" i="1" s="1"/>
  <c r="D79" i="1"/>
  <c r="F67" i="1" l="1"/>
  <c r="F72" i="1" s="1"/>
  <c r="E79" i="1"/>
  <c r="G67" i="1" l="1"/>
  <c r="G72" i="1" s="1"/>
  <c r="F79" i="1"/>
  <c r="G79" i="1" l="1"/>
  <c r="H67" i="1"/>
  <c r="H72" i="1" s="1"/>
  <c r="H79" i="1" l="1"/>
  <c r="I67" i="1"/>
  <c r="I72" i="1" s="1"/>
  <c r="J67" i="1" l="1"/>
  <c r="J72" i="1" s="1"/>
  <c r="I79" i="1"/>
  <c r="K67" i="1" l="1"/>
  <c r="K72" i="1" s="1"/>
  <c r="J79" i="1"/>
  <c r="K79" i="1" l="1"/>
  <c r="L67" i="1"/>
  <c r="L72" i="1" s="1"/>
  <c r="L79" i="1" l="1"/>
  <c r="M67" i="1"/>
  <c r="M72" i="1" s="1"/>
  <c r="N67" i="1" l="1"/>
  <c r="M79" i="1"/>
  <c r="N72" i="1" l="1"/>
  <c r="N7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Whitehead</author>
  </authors>
  <commentList>
    <comment ref="C12" authorId="0" shapeId="0" xr:uid="{C09D43C1-C8F5-4CD2-915F-04BED63043B7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MSDC grant (via Codd.Centre) for 3
 pinic benches)</t>
        </r>
      </text>
    </comment>
    <comment ref="E42" authorId="0" shapeId="0" xr:uid="{817FDC04-7C3E-4975-8EA3-90E0EBDEEEF7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Hudson Group - replacement sign Brrom Hill £180
</t>
        </r>
      </text>
    </comment>
    <comment ref="D43" authorId="0" shapeId="0" xr:uid="{E76EDE63-57A4-4081-82A9-BF3B729C5BEE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Ground fixing kit for litter bin
</t>
        </r>
      </text>
    </comment>
    <comment ref="D45" authorId="0" shapeId="0" xr:uid="{CEA3F121-2BE3-42DE-911C-45B39880E4B1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MSDC Grant part payent of Low Carbon Products picnic benches)</t>
        </r>
      </text>
    </comment>
    <comment ref="D61" authorId="0" shapeId="0" xr:uid="{A094634F-1CE4-4094-A8CE-3B8A70536304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Balance of Picnic benches not covered by MSDC grant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Whitehead</author>
  </authors>
  <commentList>
    <comment ref="E14" authorId="0" shapeId="0" xr:uid="{AB5D4BBB-B7FC-4738-8BD5-C5A5F1DE9CEC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Hudson Group - replacement sign Brrom Hill £180
</t>
        </r>
      </text>
    </comment>
    <comment ref="C18" authorId="0" shapeId="0" xr:uid="{EBE64722-7354-48D0-B1D8-35DC3BCAD113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Costs incurred net of VAT to upgrade lighting to LED
</t>
        </r>
      </text>
    </comment>
    <comment ref="C22" authorId="0" shapeId="0" xr:uid="{FB3913F8-E043-4FE8-8475-2E68043F2755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Half-yearly receipt
</t>
        </r>
      </text>
    </comment>
    <comment ref="D22" authorId="0" shapeId="0" xr:uid="{89E427C5-3471-45AC-A108-C642E81D5136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Balance to finiance picnic benches after MSDC localities grant of £1,020.00</t>
        </r>
      </text>
    </comment>
    <comment ref="D26" authorId="0" shapeId="0" xr:uid="{883E3123-B07C-4155-AD76-75339CA2E231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Ground fixing kit for litter bin
</t>
        </r>
      </text>
    </comment>
  </commentList>
</comments>
</file>

<file path=xl/sharedStrings.xml><?xml version="1.0" encoding="utf-8"?>
<sst xmlns="http://schemas.openxmlformats.org/spreadsheetml/2006/main" count="187" uniqueCount="153">
  <si>
    <t>Budget</t>
  </si>
  <si>
    <t>Variance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</si>
  <si>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</si>
  <si>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</si>
  <si>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</si>
  <si>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</si>
  <si>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</si>
  <si>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</si>
  <si>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</si>
  <si>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</si>
  <si>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</si>
  <si>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Jan</t>
  </si>
  <si>
    <t>Feb</t>
  </si>
  <si>
    <t>March</t>
  </si>
  <si>
    <t>to Budget</t>
  </si>
  <si>
    <t>INCOME</t>
  </si>
  <si>
    <t>Precept</t>
  </si>
  <si>
    <t>Interest</t>
  </si>
  <si>
    <t>Other income</t>
  </si>
  <si>
    <t>Allotment Rents</t>
  </si>
  <si>
    <t>TOTAL INCOME</t>
  </si>
  <si>
    <t>EXPENDITURE</t>
  </si>
  <si>
    <t>Insurance</t>
  </si>
  <si>
    <t>Subscriptions</t>
  </si>
  <si>
    <t>TOTAL EXPENDITURE</t>
  </si>
  <si>
    <t xml:space="preserve">VAT </t>
  </si>
  <si>
    <t>VAT on Expenditure</t>
  </si>
  <si>
    <t>VAT received (recovered from HMRC)</t>
  </si>
  <si>
    <t>Net VAT in month</t>
  </si>
  <si>
    <t>COMMUNITY INFRASTRUCTURE LEVY</t>
  </si>
  <si>
    <t>CIL Receipts</t>
  </si>
  <si>
    <t>CIL Expenditure</t>
  </si>
  <si>
    <t>Transfers to CIL Reserve</t>
  </si>
  <si>
    <t>Transfers from CIL Reserve</t>
  </si>
  <si>
    <t>CASHFLOW &amp; BANK RECONCILIATION</t>
  </si>
  <si>
    <t>Opening bank balance</t>
  </si>
  <si>
    <t>Income</t>
  </si>
  <si>
    <t>Expenditure</t>
  </si>
  <si>
    <t>Net VAT (outgoing)/received</t>
  </si>
  <si>
    <t>CIL Receipts - Expenditure</t>
  </si>
  <si>
    <t>Calculated Closing bank balance</t>
  </si>
  <si>
    <t>Closing bank statements</t>
  </si>
  <si>
    <t>Community Bank Account</t>
  </si>
  <si>
    <t>CIL Parish Reserve (BP A/C 1)</t>
  </si>
  <si>
    <t>MONTHLY RECONCILIATION DIFFERENCE</t>
  </si>
  <si>
    <t>CODDENHAM PARISH COUNCIL</t>
  </si>
  <si>
    <t xml:space="preserve"> 24/25</t>
  </si>
  <si>
    <t>FINANCIAL MONITORING REPORT 2024/25</t>
  </si>
  <si>
    <t>at 1/4/24</t>
  </si>
  <si>
    <t>at 31/3/25</t>
  </si>
  <si>
    <t>Audit fees</t>
  </si>
  <si>
    <t>Clerks's salary</t>
  </si>
  <si>
    <t>Clerk's training</t>
  </si>
  <si>
    <t>Postage, telecoms, consumables</t>
  </si>
  <si>
    <t>Software licences</t>
  </si>
  <si>
    <t>Training</t>
  </si>
  <si>
    <t>s137 payments</t>
  </si>
  <si>
    <t>Bank charges</t>
  </si>
  <si>
    <t>Web fees</t>
  </si>
  <si>
    <t>Newsletters</t>
  </si>
  <si>
    <t>Data protection</t>
  </si>
  <si>
    <t>Grounds maintenance</t>
  </si>
  <si>
    <t>Waste management</t>
  </si>
  <si>
    <t>Tree surgery</t>
  </si>
  <si>
    <t>Info box</t>
  </si>
  <si>
    <t>CIO/TCC contingency</t>
  </si>
  <si>
    <t>Hall rental</t>
  </si>
  <si>
    <t>Public Works Loan Board</t>
  </si>
  <si>
    <t>Transfer from General Reserve</t>
  </si>
  <si>
    <t>CIO/TCC Recreation Ground</t>
  </si>
  <si>
    <t>Difference?</t>
  </si>
  <si>
    <t>agreed to Monitoring Report</t>
  </si>
  <si>
    <t>Cumulative VAT to reclaim</t>
  </si>
  <si>
    <t>VAT Expenditure in 2024-25</t>
  </si>
  <si>
    <t>April '24</t>
  </si>
  <si>
    <t>May '24</t>
  </si>
  <si>
    <t>June '24</t>
  </si>
  <si>
    <t>July '24</t>
  </si>
  <si>
    <t>August '24</t>
  </si>
  <si>
    <t>September '24</t>
  </si>
  <si>
    <t>October '24</t>
  </si>
  <si>
    <t>November '24</t>
  </si>
  <si>
    <t>December '24</t>
  </si>
  <si>
    <t>January '25</t>
  </si>
  <si>
    <t>February '25</t>
  </si>
  <si>
    <t>March '25</t>
  </si>
  <si>
    <t>Allotment Expenditure</t>
  </si>
  <si>
    <t>MSDC Localities Grant</t>
  </si>
  <si>
    <t>MSDC Localities Grant expenditure</t>
  </si>
  <si>
    <t>STILL TO BE ALLOCATED (s/be ZERO)</t>
  </si>
  <si>
    <t>at 30/4/24</t>
  </si>
  <si>
    <t>at 31/5/24</t>
  </si>
  <si>
    <t>at 31/7/24</t>
  </si>
  <si>
    <t>at 31/8/24</t>
  </si>
  <si>
    <t>at 30/9/24</t>
  </si>
  <si>
    <t>at 31/10/24</t>
  </si>
  <si>
    <t>at 30/11/24</t>
  </si>
  <si>
    <t>at 31/12/24</t>
  </si>
  <si>
    <t>at 31/1/25</t>
  </si>
  <si>
    <t>at 28/2/25</t>
  </si>
  <si>
    <t>Actual YTD</t>
  </si>
  <si>
    <t>Street lighting running costs</t>
  </si>
  <si>
    <t>O2</t>
  </si>
  <si>
    <t>Suffolk County Council</t>
  </si>
  <si>
    <t>SLCC Enterprises</t>
  </si>
  <si>
    <t>Maggie Burt - HP Ink</t>
  </si>
  <si>
    <t>General Reserve brought-forward</t>
  </si>
  <si>
    <t>Glasdon UK</t>
  </si>
  <si>
    <t>Shrubland Woodland</t>
  </si>
  <si>
    <t>Professional fees</t>
  </si>
  <si>
    <t>Green Spaces reserve brought forward</t>
  </si>
  <si>
    <t>Hudson Group</t>
  </si>
  <si>
    <t>HP Ink</t>
  </si>
  <si>
    <t>Street lighting upgrade (reserve b/f)</t>
  </si>
  <si>
    <t>RESERVES MONITORING 2024-25</t>
  </si>
  <si>
    <t xml:space="preserve">Opening </t>
  </si>
  <si>
    <t>Closing</t>
  </si>
  <si>
    <t>Bal 1/4/24</t>
  </si>
  <si>
    <t>Apr</t>
  </si>
  <si>
    <t>Aug</t>
  </si>
  <si>
    <t>Mar</t>
  </si>
  <si>
    <t>Balance</t>
  </si>
  <si>
    <t>EARMARKED RESERVES</t>
  </si>
  <si>
    <t>Allotments</t>
  </si>
  <si>
    <t>Election Costs</t>
  </si>
  <si>
    <t>Green Spaces</t>
  </si>
  <si>
    <t>PWLB Loan</t>
  </si>
  <si>
    <t>Street Lighting</t>
  </si>
  <si>
    <t>Training (new Cllrs)</t>
  </si>
  <si>
    <t>CIL</t>
  </si>
  <si>
    <t>TOTAL- EARMARKED</t>
  </si>
  <si>
    <t>GENERAL RESERVE</t>
  </si>
  <si>
    <t>TOTAL RESERVES</t>
  </si>
  <si>
    <t>as per</t>
  </si>
  <si>
    <t>AGAR</t>
  </si>
  <si>
    <t>1/4/-23-31/3/24 VAT refund</t>
  </si>
  <si>
    <t>RED items claimed in the</t>
  </si>
  <si>
    <t>VAT</t>
  </si>
  <si>
    <t>23/24 total</t>
  </si>
  <si>
    <t>add in</t>
  </si>
  <si>
    <t>Need to adjust for the non-reclaimable VAT</t>
  </si>
  <si>
    <t>on the picnic benches - £374.06 (May '24)</t>
  </si>
  <si>
    <t>Increases CIL expenditure</t>
  </si>
  <si>
    <t>Mid Suffolk District Council</t>
  </si>
  <si>
    <t>HP ink</t>
  </si>
  <si>
    <t>Amazon</t>
  </si>
  <si>
    <t>Seller Xone</t>
  </si>
  <si>
    <t>SALC</t>
  </si>
  <si>
    <t>Wickes</t>
  </si>
  <si>
    <t>(on credit card)</t>
  </si>
  <si>
    <t>at 30/6/24</t>
  </si>
  <si>
    <t>Shrublands</t>
  </si>
  <si>
    <t>HP Instant 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</si>
</sst>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#,##0.00;\(#,##0.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164" fontId="0" fillId="0" borderId="3" xfId="0" applyNumberFormat="1" applyBorder="1"/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2" xfId="1" applyNumberFormat="1" applyFont="1" applyBorder="1"/>
    <xf numFmtId="164" fontId="0" fillId="0" borderId="3" xfId="1" applyNumberFormat="1" applyFont="1" applyBorder="1"/>
    <xf numFmtId="165" fontId="3" fillId="0" borderId="0" xfId="1" applyNumberFormat="1" applyFont="1"/>
    <xf numFmtId="43" fontId="1" fillId="0" borderId="1" xfId="1" applyFont="1" applyFill="1" applyBorder="1"/>
    <xf numFmtId="43" fontId="7" fillId="0" borderId="0" xfId="1" applyFont="1"/>
    <xf numFmtId="43" fontId="1" fillId="0" borderId="0" xfId="1" applyFont="1"/>
    <xf numFmtId="43" fontId="0" fillId="0" borderId="0" xfId="1" applyFont="1"/>
    <xf numFmtId="43" fontId="0" fillId="0" borderId="2" xfId="1" applyFont="1" applyBorder="1"/>
    <xf numFmtId="43" fontId="0" fillId="0" borderId="1" xfId="1" applyFont="1" applyBorder="1"/>
    <xf numFmtId="43" fontId="0" fillId="0" borderId="0" xfId="1" applyFont="1" applyFill="1"/>
    <xf numFmtId="0" fontId="3" fillId="0" borderId="0" xfId="0" applyFont="1"/>
    <xf numFmtId="165" fontId="3" fillId="0" borderId="4" xfId="1" applyNumberFormat="1" applyFont="1" applyBorder="1"/>
    <xf numFmtId="43" fontId="0" fillId="0" borderId="4" xfId="1" applyFont="1" applyBorder="1"/>
    <xf numFmtId="165" fontId="0" fillId="0" borderId="4" xfId="1" applyNumberFormat="1" applyFont="1" applyBorder="1"/>
    <xf numFmtId="164" fontId="0" fillId="0" borderId="4" xfId="1" applyNumberFormat="1" applyFont="1" applyBorder="1"/>
    <xf numFmtId="43" fontId="8" fillId="0" borderId="0" xfId="1" applyFont="1"/>
    <xf numFmtId="43" fontId="8" fillId="0" borderId="1" xfId="1" applyFont="1" applyBorder="1"/>
    <xf numFmtId="43" fontId="8" fillId="0" borderId="0" xfId="1" applyFont="1" applyBorder="1"/>
    <xf numFmtId="0" fontId="2" fillId="0" borderId="0" xfId="0" applyFont="1"/>
    <xf numFmtId="0" fontId="0" fillId="0" borderId="0" xfId="0" applyAlignment="1">
      <alignment horizontal="right"/>
    </xf>
    <xf numFmtId="165" fontId="3" fillId="0" borderId="5" xfId="1" applyNumberFormat="1" applyFont="1" applyBorder="1"/>
    <xf numFmtId="43" fontId="0" fillId="0" borderId="6" xfId="1" applyFont="1" applyBorder="1"/>
    <xf numFmtId="164" fontId="0" fillId="0" borderId="7" xfId="1" applyNumberFormat="1" applyFont="1" applyBorder="1"/>
    <xf numFmtId="43" fontId="0" fillId="0" borderId="0" xfId="1" applyFont="1" applyBorder="1"/>
    <xf numFmtId="165" fontId="0" fillId="0" borderId="3" xfId="1" applyNumberFormat="1" applyFont="1" applyBorder="1"/>
    <xf numFmtId="43" fontId="0" fillId="0" borderId="0" xfId="0" applyNumberFormat="1"/>
    <xf numFmtId="43" fontId="5" fillId="0" borderId="0" xfId="0" applyNumberFormat="1" applyFont="1"/>
    <xf numFmtId="43" fontId="0" fillId="0" borderId="8" xfId="1" applyFont="1" applyBorder="1"/>
    <xf numFmtId="165" fontId="0" fillId="0" borderId="8" xfId="1" applyNumberFormat="1" applyFont="1" applyBorder="1"/>
    <xf numFmtId="165" fontId="0" fillId="0" borderId="0" xfId="1" applyNumberFormat="1" applyFont="1" applyBorder="1"/>
    <xf numFmtId="43" fontId="1" fillId="0" borderId="1" xfId="1" applyFont="1" applyBorder="1"/>
    <xf numFmtId="166" fontId="0" fillId="0" borderId="0" xfId="0" applyNumberFormat="1"/>
    <xf numFmtId="166" fontId="0" fillId="0" borderId="0" xfId="1" applyNumberFormat="1" applyFont="1"/>
    <xf numFmtId="43" fontId="3" fillId="0" borderId="9" xfId="1" applyFont="1" applyBorder="1"/>
    <xf numFmtId="0" fontId="9" fillId="0" borderId="0" xfId="0" applyFont="1"/>
    <xf numFmtId="0" fontId="0" fillId="0" borderId="0" xfId="0" quotePrefix="1" applyAlignment="1">
      <alignment horizontal="center"/>
    </xf>
    <xf numFmtId="43" fontId="3" fillId="0" borderId="0" xfId="1" applyFont="1"/>
    <xf numFmtId="43" fontId="0" fillId="0" borderId="9" xfId="0" applyNumberFormat="1" applyBorder="1"/>
    <xf numFmtId="43" fontId="0" fillId="0" borderId="9" xfId="1" applyFont="1" applyBorder="1"/>
    <xf numFmtId="0" fontId="10" fillId="0" borderId="0" xfId="0" applyFont="1"/>
    <xf numFmtId="0" fontId="0" fillId="0" borderId="9" xfId="0" applyBorder="1"/>
    <xf numFmtId="43" fontId="0" fillId="0" borderId="10" xfId="1" applyFont="1" applyBorder="1"/>
    <xf numFmtId="2" fontId="0" fillId="0" borderId="0" xfId="0" applyNumberFormat="1"/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/>
    <xf numFmtId="8" fontId="0" fillId="0" borderId="0" xfId="0" applyNumberFormat="1"/>
    <xf numFmtId="0" fontId="0" fillId="0" borderId="0" xfId="0" applyAlignment="1">
      <alignment vertical="top"/>
    </xf>
    <xf numFmtId="43" fontId="0" fillId="0" borderId="11" xfId="1" applyFont="1" applyBorder="1"/>
    <xf numFmtId="0" fontId="0" fillId="0" borderId="3" xfId="0" applyBorder="1" applyAlignment="1">
      <alignment horizontal="center"/>
    </xf>
    <xf numFmtId="165" fontId="0" fillId="0" borderId="6" xfId="1" applyNumberFormat="1" applyFont="1" applyBorder="1"/>
    <xf numFmtId="165" fontId="3" fillId="0" borderId="0" xfId="1" applyNumberFormat="1" applyFont="1" applyFill="1"/>
    <xf numFmtId="43" fontId="0" fillId="0" borderId="1" xfId="1" applyFont="1" applyFill="1" applyBorder="1"/>
    <xf numFmtId="43" fontId="0" fillId="0" borderId="2" xfId="1" applyFont="1" applyFill="1" applyBorder="1"/>
    <xf numFmtId="165" fontId="0" fillId="0" borderId="0" xfId="1" applyNumberFormat="1" applyFont="1" applyFill="1"/>
    <xf numFmtId="0" fontId="13" fillId="0" borderId="0" xfId="0" applyFont="1"/>
    <xf numFmtId="166" fontId="0" fillId="0" borderId="9" xfId="0" applyNumberFormat="1" applyBorder="1"/>
    <xf numFmtId="166" fontId="0" fillId="0" borderId="12" xfId="0" applyNumberFormat="1" applyBorder="1"/>
    <xf numFmtId="43" fontId="5" fillId="0" borderId="0" xfId="1" applyFont="1"/>
    <xf numFmtId="0" fontId="0" fillId="0" borderId="0" xfId="0" quotePrefix="1"/>
    <xf numFmtId="0" fontId="5" fillId="0" borderId="0" xfId="0" quotePrefix="1" applyFont="1"/>
    <xf numFmtId="0" fontId="1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4828-637D-432C-BD24-895099ECF6FB}">
  <sheetPr>
    <pageSetUpPr fitToPage="1"/>
  </sheetPr>
  <dimension ref="A1:T80"/>
  <sheetViews>
    <sheetView topLeftCell="A14" zoomScale="88" zoomScaleNormal="88" workbookViewId="0">
      <selection activeCell="C23" sqref="C23"/>
    </sheetView>
  </sheetViews>
  <sheetFormatPr defaultRowHeight="14.4" x14ac:dyDescent="0.3"/>
  <cols>
    <col min="1" max="1" width="37.44140625" customWidth="1"/>
    <col min="2" max="2" width="14.44140625" customWidth="1"/>
    <col min="3" max="3" width="12.6640625" customWidth="1"/>
    <col min="4" max="4" width="12.33203125" customWidth="1"/>
    <col min="5" max="5" width="12.88671875" customWidth="1"/>
    <col min="6" max="6" width="12.6640625" customWidth="1"/>
    <col min="7" max="7" width="13.109375" customWidth="1"/>
    <col min="8" max="8" width="12.33203125" customWidth="1"/>
    <col min="9" max="9" width="13.6640625" hidden="1" customWidth="1"/>
    <col min="10" max="10" width="12.88671875" hidden="1" customWidth="1"/>
    <col min="11" max="11" width="13.44140625" hidden="1" customWidth="1"/>
    <col min="12" max="12" width="13.6640625" hidden="1" customWidth="1"/>
    <col min="13" max="13" width="12" hidden="1" customWidth="1"/>
    <col min="14" max="14" width="12.33203125" hidden="1" customWidth="1"/>
    <col min="15" max="16" width="12.109375" customWidth="1"/>
    <col min="17" max="17" width="11.33203125" bestFit="1" customWidth="1"/>
    <col min="18" max="18" width="10.109375" bestFit="1" customWidth="1"/>
    <col min="20" max="20" width="14.33203125" customWidth="1"/>
  </cols>
  <sheetData>
    <row r="1" spans="1:18" ht="23.4" x14ac:dyDescent="0.45">
      <c r="A1" s="1" t="s">
        <v>45</v>
      </c>
      <c r="J1" s="2"/>
    </row>
    <row r="2" spans="1:18" ht="23.4" x14ac:dyDescent="0.45">
      <c r="A2" s="1" t="s">
        <v>47</v>
      </c>
    </row>
    <row r="3" spans="1:18" x14ac:dyDescent="0.3">
      <c r="B3" t="s">
        <v>0</v>
      </c>
      <c r="C3" s="3"/>
      <c r="N3" s="4"/>
      <c r="O3" s="7" t="s">
        <v>100</v>
      </c>
      <c r="P3" s="64" t="s">
        <v>1</v>
      </c>
    </row>
    <row r="4" spans="1:18" x14ac:dyDescent="0.3">
      <c r="B4" t="s">
        <v>46</v>
      </c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8" t="s">
        <v>13</v>
      </c>
      <c r="O4" s="7" t="s">
        <v>46</v>
      </c>
      <c r="P4" s="64" t="s">
        <v>14</v>
      </c>
    </row>
    <row r="5" spans="1:18" x14ac:dyDescent="0.3">
      <c r="C5" s="3"/>
      <c r="N5" s="9"/>
      <c r="P5" s="5"/>
      <c r="R5" s="2" t="s">
        <v>140</v>
      </c>
    </row>
    <row r="6" spans="1:18" x14ac:dyDescent="0.3">
      <c r="A6" s="10" t="s">
        <v>15</v>
      </c>
      <c r="C6" s="3"/>
      <c r="N6" s="4"/>
      <c r="P6" s="11"/>
      <c r="R6" s="2" t="s">
        <v>141</v>
      </c>
    </row>
    <row r="7" spans="1:18" x14ac:dyDescent="0.3">
      <c r="B7" s="12"/>
      <c r="C7" s="13"/>
      <c r="D7" s="12"/>
      <c r="E7" s="12"/>
      <c r="F7" s="12"/>
      <c r="G7" s="12"/>
      <c r="H7" s="12"/>
      <c r="I7" s="12"/>
      <c r="J7" s="12"/>
      <c r="K7" s="12"/>
      <c r="L7" s="12"/>
      <c r="M7" s="12"/>
      <c r="N7" s="14"/>
      <c r="O7" s="12"/>
      <c r="P7" s="15"/>
      <c r="R7" s="2" t="s">
        <v>142</v>
      </c>
    </row>
    <row r="8" spans="1:18" x14ac:dyDescent="0.3">
      <c r="A8" t="s">
        <v>16</v>
      </c>
      <c r="B8" s="16">
        <v>34217</v>
      </c>
      <c r="C8" s="17">
        <v>17108.5</v>
      </c>
      <c r="D8" s="18"/>
      <c r="E8" s="18"/>
      <c r="F8" s="18"/>
      <c r="G8" s="18"/>
      <c r="H8" s="19">
        <v>17108.5</v>
      </c>
      <c r="I8" s="18"/>
      <c r="J8" s="20"/>
      <c r="K8" s="20"/>
      <c r="L8" s="20"/>
      <c r="M8" s="20"/>
      <c r="N8" s="21"/>
      <c r="O8" s="12">
        <f t="shared" ref="O8:O12" si="0">SUM(C8:N8)</f>
        <v>34217</v>
      </c>
      <c r="P8" s="15">
        <f t="shared" ref="P8:P13" si="1">B8-O8</f>
        <v>0</v>
      </c>
    </row>
    <row r="9" spans="1:18" x14ac:dyDescent="0.3">
      <c r="A9" t="s">
        <v>17</v>
      </c>
      <c r="B9" s="16">
        <v>500</v>
      </c>
      <c r="C9" s="22">
        <v>0</v>
      </c>
      <c r="D9" s="20"/>
      <c r="E9" s="20">
        <v>183.05</v>
      </c>
      <c r="F9" s="20"/>
      <c r="G9" s="20"/>
      <c r="H9" s="20">
        <v>187.41</v>
      </c>
      <c r="I9" s="20"/>
      <c r="J9" s="20"/>
      <c r="K9" s="20"/>
      <c r="L9" s="20"/>
      <c r="M9" s="20"/>
      <c r="N9" s="21"/>
      <c r="O9" s="12">
        <f t="shared" si="0"/>
        <v>370.46000000000004</v>
      </c>
      <c r="P9" s="15">
        <f t="shared" si="1"/>
        <v>129.53999999999996</v>
      </c>
    </row>
    <row r="10" spans="1:18" x14ac:dyDescent="0.3">
      <c r="A10" t="s">
        <v>18</v>
      </c>
      <c r="B10" s="16">
        <v>0</v>
      </c>
      <c r="C10" s="22">
        <v>0</v>
      </c>
      <c r="D10" s="20"/>
      <c r="E10" s="20"/>
      <c r="F10" s="20"/>
      <c r="G10" s="20"/>
      <c r="H10" s="20"/>
      <c r="I10" s="23"/>
      <c r="J10" s="20"/>
      <c r="K10" s="20"/>
      <c r="L10" s="20"/>
      <c r="M10" s="20"/>
      <c r="N10" s="21"/>
      <c r="O10" s="12">
        <f t="shared" si="0"/>
        <v>0</v>
      </c>
      <c r="P10" s="15">
        <f t="shared" si="1"/>
        <v>0</v>
      </c>
    </row>
    <row r="11" spans="1:18" x14ac:dyDescent="0.3">
      <c r="A11" t="s">
        <v>68</v>
      </c>
      <c r="B11" s="16">
        <v>2000</v>
      </c>
      <c r="C11" s="22">
        <v>0</v>
      </c>
      <c r="D11" s="20"/>
      <c r="E11" s="20"/>
      <c r="F11" s="20"/>
      <c r="G11" s="20"/>
      <c r="H11" s="20"/>
      <c r="I11" s="23"/>
      <c r="J11" s="20"/>
      <c r="K11" s="20"/>
      <c r="L11" s="20"/>
      <c r="M11" s="20"/>
      <c r="N11" s="21"/>
      <c r="O11" s="12">
        <f t="shared" si="0"/>
        <v>0</v>
      </c>
      <c r="P11" s="15">
        <f t="shared" si="1"/>
        <v>2000</v>
      </c>
    </row>
    <row r="12" spans="1:18" x14ac:dyDescent="0.3">
      <c r="A12" t="s">
        <v>87</v>
      </c>
      <c r="B12" s="16">
        <v>0</v>
      </c>
      <c r="C12" s="22">
        <f>1020</f>
        <v>1020</v>
      </c>
      <c r="D12" s="20"/>
      <c r="E12" s="20"/>
      <c r="F12" s="20"/>
      <c r="G12" s="20"/>
      <c r="H12" s="20"/>
      <c r="I12" s="23"/>
      <c r="J12" s="20"/>
      <c r="K12" s="20"/>
      <c r="L12" s="20"/>
      <c r="M12" s="20"/>
      <c r="N12" s="21"/>
      <c r="O12" s="12">
        <f t="shared" si="0"/>
        <v>1020</v>
      </c>
      <c r="P12" s="15">
        <f t="shared" si="1"/>
        <v>-1020</v>
      </c>
    </row>
    <row r="13" spans="1:18" x14ac:dyDescent="0.3">
      <c r="A13" t="s">
        <v>19</v>
      </c>
      <c r="B13" s="16">
        <v>0</v>
      </c>
      <c r="C13" s="22">
        <f>15+15+15+15+15+7.5+7.5</f>
        <v>90</v>
      </c>
      <c r="D13" s="20">
        <v>7.5</v>
      </c>
      <c r="E13" s="20"/>
      <c r="F13" s="20">
        <v>7.5</v>
      </c>
      <c r="G13" s="20"/>
      <c r="H13" s="20"/>
      <c r="I13" s="23"/>
      <c r="J13" s="20"/>
      <c r="K13" s="20"/>
      <c r="L13" s="20"/>
      <c r="M13" s="20"/>
      <c r="N13" s="21"/>
      <c r="O13" s="12">
        <f t="shared" ref="O13" si="2">SUM(C13:N13)</f>
        <v>105</v>
      </c>
      <c r="P13" s="15">
        <f t="shared" si="1"/>
        <v>-105</v>
      </c>
    </row>
    <row r="14" spans="1:18" x14ac:dyDescent="0.3">
      <c r="A14" s="24" t="s">
        <v>20</v>
      </c>
      <c r="B14" s="25">
        <f t="shared" ref="B14:P14" si="3">SUM(B7:B13)</f>
        <v>36717</v>
      </c>
      <c r="C14" s="26">
        <f t="shared" si="3"/>
        <v>18218.5</v>
      </c>
      <c r="D14" s="26">
        <f t="shared" si="3"/>
        <v>7.5</v>
      </c>
      <c r="E14" s="26">
        <f t="shared" si="3"/>
        <v>183.05</v>
      </c>
      <c r="F14" s="26">
        <f t="shared" si="3"/>
        <v>7.5</v>
      </c>
      <c r="G14" s="26">
        <f t="shared" si="3"/>
        <v>0</v>
      </c>
      <c r="H14" s="26">
        <f t="shared" si="3"/>
        <v>17295.91</v>
      </c>
      <c r="I14" s="26">
        <f t="shared" si="3"/>
        <v>0</v>
      </c>
      <c r="J14" s="26">
        <f t="shared" si="3"/>
        <v>0</v>
      </c>
      <c r="K14" s="26">
        <f t="shared" si="3"/>
        <v>0</v>
      </c>
      <c r="L14" s="26">
        <f t="shared" si="3"/>
        <v>0</v>
      </c>
      <c r="M14" s="26">
        <f t="shared" si="3"/>
        <v>0</v>
      </c>
      <c r="N14" s="26">
        <f t="shared" si="3"/>
        <v>0</v>
      </c>
      <c r="O14" s="27">
        <f t="shared" si="3"/>
        <v>35712.46</v>
      </c>
      <c r="P14" s="28">
        <f t="shared" si="3"/>
        <v>1004.54</v>
      </c>
    </row>
    <row r="15" spans="1:18" x14ac:dyDescent="0.3">
      <c r="B15" s="12"/>
      <c r="C15" s="22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/>
      <c r="O15" s="12"/>
      <c r="P15" s="15"/>
    </row>
    <row r="16" spans="1:18" x14ac:dyDescent="0.3">
      <c r="A16" s="10" t="s">
        <v>21</v>
      </c>
      <c r="B16" s="12"/>
      <c r="C16" s="22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/>
      <c r="O16" s="12"/>
      <c r="P16" s="15"/>
    </row>
    <row r="17" spans="1:20" x14ac:dyDescent="0.3">
      <c r="A17" t="s">
        <v>51</v>
      </c>
      <c r="B17" s="16">
        <v>8213</v>
      </c>
      <c r="C17" s="22">
        <f>550.65+391.6</f>
        <v>942.25</v>
      </c>
      <c r="D17" s="20">
        <v>581.20000000000005</v>
      </c>
      <c r="E17" s="20">
        <f>517.23</f>
        <v>517.23</v>
      </c>
      <c r="F17" s="20">
        <f>492.8+397.6</f>
        <v>890.40000000000009</v>
      </c>
      <c r="G17" s="20">
        <v>751.42</v>
      </c>
      <c r="H17" s="20">
        <f>362.1</f>
        <v>362.1</v>
      </c>
      <c r="I17" s="20"/>
      <c r="J17" s="20"/>
      <c r="K17" s="20"/>
      <c r="L17" s="20"/>
      <c r="M17" s="20"/>
      <c r="N17" s="21"/>
      <c r="O17" s="12">
        <f>SUM(C17:N17)</f>
        <v>4044.6</v>
      </c>
      <c r="P17" s="15">
        <f>B17-O17</f>
        <v>4168.3999999999996</v>
      </c>
      <c r="T17" s="20"/>
    </row>
    <row r="18" spans="1:20" x14ac:dyDescent="0.3">
      <c r="A18" t="s">
        <v>52</v>
      </c>
      <c r="B18" s="16">
        <v>674</v>
      </c>
      <c r="C18" s="22">
        <f>120</f>
        <v>120</v>
      </c>
      <c r="D18" s="20"/>
      <c r="E18" s="29"/>
      <c r="F18" s="20">
        <f>70</f>
        <v>70</v>
      </c>
      <c r="G18" s="20">
        <f>70+35</f>
        <v>105</v>
      </c>
      <c r="H18" s="20"/>
      <c r="I18" s="20"/>
      <c r="J18" s="20"/>
      <c r="K18" s="20"/>
      <c r="L18" s="20"/>
      <c r="M18" s="20"/>
      <c r="N18" s="21"/>
      <c r="O18" s="12">
        <f t="shared" ref="O18:O36" si="4">SUM(C18:N18)</f>
        <v>295</v>
      </c>
      <c r="P18" s="15">
        <f t="shared" ref="P18:P45" si="5">B18-O18</f>
        <v>379</v>
      </c>
      <c r="T18" s="20"/>
    </row>
    <row r="19" spans="1:20" x14ac:dyDescent="0.3">
      <c r="A19" t="s">
        <v>53</v>
      </c>
      <c r="B19" s="16">
        <v>350</v>
      </c>
      <c r="C19" s="30">
        <f>10+14.13</f>
        <v>24.130000000000003</v>
      </c>
      <c r="D19" s="31">
        <f>46.52+10</f>
        <v>56.52</v>
      </c>
      <c r="E19" s="31">
        <f>45.97+17.16+10</f>
        <v>73.13</v>
      </c>
      <c r="F19" s="31">
        <f>9.15+10.35</f>
        <v>19.5</v>
      </c>
      <c r="G19" s="31">
        <f>14.98+10</f>
        <v>24.98</v>
      </c>
      <c r="H19" s="31">
        <f>11.65+32.9+10.31+10</f>
        <v>64.86</v>
      </c>
      <c r="I19" s="30"/>
      <c r="J19" s="30"/>
      <c r="K19" s="30"/>
      <c r="L19" s="31"/>
      <c r="M19" s="20"/>
      <c r="N19" s="21"/>
      <c r="O19" s="12">
        <f t="shared" si="4"/>
        <v>263.12</v>
      </c>
      <c r="P19" s="15">
        <f t="shared" si="5"/>
        <v>86.88</v>
      </c>
      <c r="R19" s="32"/>
      <c r="T19" s="30"/>
    </row>
    <row r="20" spans="1:20" x14ac:dyDescent="0.3">
      <c r="A20" t="s">
        <v>55</v>
      </c>
      <c r="B20" s="16">
        <v>571</v>
      </c>
      <c r="C20" s="22"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1"/>
      <c r="O20" s="12">
        <f t="shared" si="4"/>
        <v>0</v>
      </c>
      <c r="P20" s="15">
        <f t="shared" si="5"/>
        <v>571</v>
      </c>
      <c r="T20" s="20"/>
    </row>
    <row r="21" spans="1:20" x14ac:dyDescent="0.3">
      <c r="A21" t="s">
        <v>66</v>
      </c>
      <c r="B21" s="16">
        <v>120</v>
      </c>
      <c r="C21" s="22">
        <v>0</v>
      </c>
      <c r="D21" s="20"/>
      <c r="E21" s="20"/>
      <c r="F21" s="20"/>
      <c r="G21" s="20">
        <f>10</f>
        <v>10</v>
      </c>
      <c r="H21" s="20"/>
      <c r="I21" s="20"/>
      <c r="J21" s="20"/>
      <c r="K21" s="20"/>
      <c r="L21" s="20"/>
      <c r="M21" s="20"/>
      <c r="N21" s="21"/>
      <c r="O21" s="12"/>
      <c r="P21" s="15"/>
      <c r="T21" s="20"/>
    </row>
    <row r="22" spans="1:20" x14ac:dyDescent="0.3">
      <c r="A22" t="s">
        <v>54</v>
      </c>
      <c r="B22" s="16">
        <v>200</v>
      </c>
      <c r="C22" s="22">
        <v>99.98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1"/>
      <c r="O22" s="12">
        <f t="shared" si="4"/>
        <v>99.98</v>
      </c>
      <c r="P22" s="15">
        <f t="shared" si="5"/>
        <v>100.02</v>
      </c>
      <c r="T22" s="20"/>
    </row>
    <row r="23" spans="1:20" x14ac:dyDescent="0.3">
      <c r="A23" t="s">
        <v>23</v>
      </c>
      <c r="B23" s="16">
        <v>450</v>
      </c>
      <c r="C23" s="22">
        <f>120</f>
        <v>120</v>
      </c>
      <c r="D23" s="20">
        <v>308.39</v>
      </c>
      <c r="E23" s="20"/>
      <c r="F23" s="20"/>
      <c r="G23" s="20"/>
      <c r="H23" s="20"/>
      <c r="I23" s="20"/>
      <c r="J23" s="20"/>
      <c r="K23" s="20"/>
      <c r="L23" s="20"/>
      <c r="M23" s="20"/>
      <c r="N23" s="21"/>
      <c r="O23" s="12">
        <f t="shared" si="4"/>
        <v>428.39</v>
      </c>
      <c r="P23" s="15">
        <f t="shared" si="5"/>
        <v>21.610000000000014</v>
      </c>
      <c r="T23" s="20"/>
    </row>
    <row r="24" spans="1:20" x14ac:dyDescent="0.3">
      <c r="A24" t="s">
        <v>50</v>
      </c>
      <c r="B24" s="16">
        <v>575</v>
      </c>
      <c r="C24" s="22">
        <v>0</v>
      </c>
      <c r="D24" s="20"/>
      <c r="E24" s="20"/>
      <c r="F24" s="20"/>
      <c r="G24" s="20">
        <f>322</f>
        <v>322</v>
      </c>
      <c r="H24" s="20"/>
      <c r="I24" s="20"/>
      <c r="J24" s="20"/>
      <c r="K24" s="20"/>
      <c r="L24" s="20"/>
      <c r="M24" s="20"/>
      <c r="N24" s="21"/>
      <c r="O24" s="12">
        <f t="shared" si="4"/>
        <v>322</v>
      </c>
      <c r="P24" s="15">
        <f t="shared" si="5"/>
        <v>253</v>
      </c>
      <c r="T24" s="20"/>
    </row>
    <row r="25" spans="1:20" x14ac:dyDescent="0.3">
      <c r="A25" t="s">
        <v>22</v>
      </c>
      <c r="B25" s="16">
        <v>420</v>
      </c>
      <c r="C25" s="22">
        <v>0</v>
      </c>
      <c r="D25" s="20"/>
      <c r="E25" s="20"/>
      <c r="F25" s="20"/>
      <c r="G25" s="20"/>
      <c r="H25" s="20">
        <f>396.56</f>
        <v>396.56</v>
      </c>
      <c r="I25" s="20"/>
      <c r="J25" s="20"/>
      <c r="K25" s="20"/>
      <c r="L25" s="20"/>
      <c r="M25" s="20"/>
      <c r="N25" s="21"/>
      <c r="O25" s="12">
        <f t="shared" si="4"/>
        <v>396.56</v>
      </c>
      <c r="P25" s="15">
        <f t="shared" si="5"/>
        <v>23.439999999999998</v>
      </c>
      <c r="T25" s="20"/>
    </row>
    <row r="26" spans="1:20" x14ac:dyDescent="0.3">
      <c r="A26" t="s">
        <v>56</v>
      </c>
      <c r="B26" s="16">
        <v>200</v>
      </c>
      <c r="C26" s="22">
        <v>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1"/>
      <c r="O26" s="12">
        <f t="shared" si="4"/>
        <v>0</v>
      </c>
      <c r="P26" s="15">
        <f t="shared" si="5"/>
        <v>200</v>
      </c>
      <c r="T26" s="20"/>
    </row>
    <row r="27" spans="1:20" x14ac:dyDescent="0.3">
      <c r="A27" t="s">
        <v>57</v>
      </c>
      <c r="B27" s="16">
        <v>72</v>
      </c>
      <c r="C27" s="22">
        <f>50</f>
        <v>50</v>
      </c>
      <c r="D27" s="20">
        <v>3</v>
      </c>
      <c r="E27" s="20"/>
      <c r="F27" s="20">
        <f>18+3</f>
        <v>21</v>
      </c>
      <c r="G27" s="20">
        <f>3</f>
        <v>3</v>
      </c>
      <c r="H27" s="20">
        <f>18+3</f>
        <v>21</v>
      </c>
      <c r="I27" s="20"/>
      <c r="J27" s="20"/>
      <c r="K27" s="20"/>
      <c r="L27" s="20"/>
      <c r="M27" s="20"/>
      <c r="N27" s="21"/>
      <c r="O27" s="12">
        <f t="shared" si="4"/>
        <v>98</v>
      </c>
      <c r="P27" s="15">
        <f t="shared" si="5"/>
        <v>-26</v>
      </c>
      <c r="T27" s="20"/>
    </row>
    <row r="28" spans="1:20" x14ac:dyDescent="0.3">
      <c r="A28" t="s">
        <v>109</v>
      </c>
      <c r="B28" s="16">
        <v>0</v>
      </c>
      <c r="C28" s="22"/>
      <c r="D28" s="20">
        <v>6</v>
      </c>
      <c r="E28" s="20"/>
      <c r="F28" s="20"/>
      <c r="G28" s="20"/>
      <c r="H28" s="20"/>
      <c r="I28" s="20"/>
      <c r="J28" s="20"/>
      <c r="K28" s="20"/>
      <c r="L28" s="20"/>
      <c r="M28" s="20"/>
      <c r="N28" s="21"/>
      <c r="O28" s="12">
        <f t="shared" si="4"/>
        <v>6</v>
      </c>
      <c r="P28" s="15">
        <f t="shared" si="5"/>
        <v>-6</v>
      </c>
      <c r="T28" s="20"/>
    </row>
    <row r="29" spans="1:20" x14ac:dyDescent="0.3">
      <c r="A29" t="s">
        <v>58</v>
      </c>
      <c r="B29" s="16">
        <v>160</v>
      </c>
      <c r="C29" s="22">
        <v>0</v>
      </c>
      <c r="D29" s="20"/>
      <c r="E29" s="20">
        <v>150</v>
      </c>
      <c r="F29" s="20"/>
      <c r="G29" s="20">
        <f>16.5</f>
        <v>16.5</v>
      </c>
      <c r="H29" s="20"/>
      <c r="I29" s="20"/>
      <c r="J29" s="20"/>
      <c r="K29" s="20"/>
      <c r="L29" s="20"/>
      <c r="M29" s="20"/>
      <c r="N29" s="21"/>
      <c r="O29" s="12">
        <f t="shared" si="4"/>
        <v>166.5</v>
      </c>
      <c r="P29" s="15">
        <f t="shared" si="5"/>
        <v>-6.5</v>
      </c>
      <c r="T29" s="20"/>
    </row>
    <row r="30" spans="1:20" x14ac:dyDescent="0.3">
      <c r="A30" t="s">
        <v>59</v>
      </c>
      <c r="B30" s="16">
        <v>300</v>
      </c>
      <c r="C30" s="22">
        <f>61.9</f>
        <v>61.9</v>
      </c>
      <c r="D30" s="20"/>
      <c r="E30" s="20"/>
      <c r="F30" s="20"/>
      <c r="G30" s="20">
        <f>107.56</f>
        <v>107.56</v>
      </c>
      <c r="H30" s="20"/>
      <c r="I30" s="20"/>
      <c r="J30" s="20"/>
      <c r="K30" s="20"/>
      <c r="L30" s="20"/>
      <c r="M30" s="20"/>
      <c r="N30" s="21"/>
      <c r="O30" s="12">
        <f t="shared" si="4"/>
        <v>169.46</v>
      </c>
      <c r="P30" s="15">
        <f t="shared" si="5"/>
        <v>130.54</v>
      </c>
      <c r="T30" s="20"/>
    </row>
    <row r="31" spans="1:20" x14ac:dyDescent="0.3">
      <c r="A31" t="s">
        <v>60</v>
      </c>
      <c r="B31" s="16">
        <v>35</v>
      </c>
      <c r="C31" s="22">
        <f>35</f>
        <v>35</v>
      </c>
      <c r="D31" s="29"/>
      <c r="E31" s="20"/>
      <c r="F31" s="20"/>
      <c r="G31" s="20"/>
      <c r="H31" s="20"/>
      <c r="I31" s="20"/>
      <c r="J31" s="20"/>
      <c r="K31" s="20"/>
      <c r="L31" s="20"/>
      <c r="M31" s="20"/>
      <c r="N31" s="21"/>
      <c r="O31" s="12">
        <f t="shared" si="4"/>
        <v>35</v>
      </c>
      <c r="P31" s="15">
        <f t="shared" si="5"/>
        <v>0</v>
      </c>
      <c r="R31" s="32"/>
      <c r="T31" s="20"/>
    </row>
    <row r="32" spans="1:20" x14ac:dyDescent="0.3">
      <c r="A32" t="s">
        <v>61</v>
      </c>
      <c r="B32" s="16">
        <v>1200</v>
      </c>
      <c r="C32" s="22">
        <v>0</v>
      </c>
      <c r="D32" s="20">
        <v>237.66</v>
      </c>
      <c r="E32" s="20">
        <f>124+5.86</f>
        <v>129.86000000000001</v>
      </c>
      <c r="F32" s="20"/>
      <c r="G32" s="20">
        <f>30</f>
        <v>30</v>
      </c>
      <c r="H32" s="20"/>
      <c r="I32" s="20"/>
      <c r="J32" s="20"/>
      <c r="K32" s="20"/>
      <c r="L32" s="20"/>
      <c r="M32" s="20"/>
      <c r="N32" s="21"/>
      <c r="O32" s="12">
        <f t="shared" si="4"/>
        <v>397.52</v>
      </c>
      <c r="P32" s="15">
        <f t="shared" si="5"/>
        <v>802.48</v>
      </c>
      <c r="T32" s="20"/>
    </row>
    <row r="33" spans="1:20" x14ac:dyDescent="0.3">
      <c r="A33" t="s">
        <v>62</v>
      </c>
      <c r="B33" s="16">
        <v>650</v>
      </c>
      <c r="C33" s="22">
        <v>0</v>
      </c>
      <c r="D33" s="20"/>
      <c r="E33" s="20"/>
      <c r="F33" s="20"/>
      <c r="G33" s="20"/>
      <c r="H33" s="20">
        <f>556.1</f>
        <v>556.1</v>
      </c>
      <c r="I33" s="20"/>
      <c r="J33" s="20"/>
      <c r="K33" s="20"/>
      <c r="L33" s="20"/>
      <c r="M33" s="20"/>
      <c r="N33" s="21"/>
      <c r="O33" s="12">
        <f t="shared" si="4"/>
        <v>556.1</v>
      </c>
      <c r="P33" s="15">
        <f t="shared" si="5"/>
        <v>93.899999999999977</v>
      </c>
      <c r="T33" s="20"/>
    </row>
    <row r="34" spans="1:20" x14ac:dyDescent="0.3">
      <c r="A34" t="s">
        <v>101</v>
      </c>
      <c r="B34" s="16">
        <v>1250</v>
      </c>
      <c r="C34" s="22">
        <v>325.20999999999998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1"/>
      <c r="O34" s="12">
        <f t="shared" si="4"/>
        <v>325.20999999999998</v>
      </c>
      <c r="P34" s="15">
        <f t="shared" si="5"/>
        <v>924.79</v>
      </c>
      <c r="T34" s="20"/>
    </row>
    <row r="35" spans="1:20" x14ac:dyDescent="0.3">
      <c r="A35" t="s">
        <v>113</v>
      </c>
      <c r="B35" s="16">
        <v>0</v>
      </c>
      <c r="C35" s="22">
        <v>2908.5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1"/>
      <c r="O35" s="12">
        <f t="shared" si="4"/>
        <v>2908.5</v>
      </c>
      <c r="P35" s="15">
        <f t="shared" si="5"/>
        <v>-2908.5</v>
      </c>
      <c r="T35" s="20"/>
    </row>
    <row r="36" spans="1:20" x14ac:dyDescent="0.3">
      <c r="A36" t="s">
        <v>63</v>
      </c>
      <c r="B36" s="16">
        <v>3000</v>
      </c>
      <c r="C36" s="22">
        <v>0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1"/>
      <c r="O36" s="12">
        <f t="shared" si="4"/>
        <v>0</v>
      </c>
      <c r="P36" s="15">
        <f t="shared" si="5"/>
        <v>3000</v>
      </c>
      <c r="T36" s="20"/>
    </row>
    <row r="37" spans="1:20" x14ac:dyDescent="0.3">
      <c r="A37" t="s">
        <v>64</v>
      </c>
      <c r="B37" s="16">
        <v>50</v>
      </c>
      <c r="C37" s="22">
        <v>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1"/>
      <c r="O37" s="12">
        <f t="shared" ref="O37:O45" si="6">SUM(C37:N37)</f>
        <v>0</v>
      </c>
      <c r="P37" s="15">
        <f t="shared" si="5"/>
        <v>50</v>
      </c>
      <c r="T37" s="20"/>
    </row>
    <row r="38" spans="1:20" hidden="1" x14ac:dyDescent="0.3">
      <c r="A38" t="s">
        <v>89</v>
      </c>
      <c r="B38" s="66"/>
      <c r="C38" s="67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68"/>
      <c r="O38" s="69">
        <f t="shared" si="6"/>
        <v>0</v>
      </c>
      <c r="P38" s="15">
        <f t="shared" si="5"/>
        <v>0</v>
      </c>
      <c r="T38" s="23"/>
    </row>
    <row r="39" spans="1:20" x14ac:dyDescent="0.3">
      <c r="A39" t="s">
        <v>65</v>
      </c>
      <c r="B39" s="16">
        <v>1075</v>
      </c>
      <c r="C39" s="22">
        <v>0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1"/>
      <c r="O39" s="12">
        <f t="shared" si="6"/>
        <v>0</v>
      </c>
      <c r="P39" s="15">
        <f t="shared" si="5"/>
        <v>1075</v>
      </c>
      <c r="T39" s="20"/>
    </row>
    <row r="40" spans="1:20" x14ac:dyDescent="0.3">
      <c r="A40" t="s">
        <v>69</v>
      </c>
      <c r="B40" s="16">
        <v>4000</v>
      </c>
      <c r="C40" s="22">
        <v>0</v>
      </c>
      <c r="D40" s="20"/>
      <c r="E40" s="20">
        <v>4000</v>
      </c>
      <c r="F40" s="20"/>
      <c r="G40" s="20"/>
      <c r="H40" s="20"/>
      <c r="I40" s="20"/>
      <c r="J40" s="20"/>
      <c r="K40" s="20"/>
      <c r="L40" s="20"/>
      <c r="M40" s="20"/>
      <c r="N40" s="21"/>
      <c r="O40" s="12">
        <f t="shared" si="6"/>
        <v>4000</v>
      </c>
      <c r="P40" s="15">
        <f t="shared" si="5"/>
        <v>0</v>
      </c>
      <c r="T40" s="20"/>
    </row>
    <row r="41" spans="1:20" x14ac:dyDescent="0.3">
      <c r="A41" t="s">
        <v>67</v>
      </c>
      <c r="B41" s="16">
        <v>13152</v>
      </c>
      <c r="C41" s="22">
        <v>0</v>
      </c>
      <c r="D41" s="20"/>
      <c r="E41" s="20">
        <v>6575.92</v>
      </c>
      <c r="F41" s="20"/>
      <c r="G41" s="20"/>
      <c r="H41" s="20"/>
      <c r="I41" s="20"/>
      <c r="J41" s="20"/>
      <c r="K41" s="20"/>
      <c r="L41" s="20"/>
      <c r="M41" s="20"/>
      <c r="N41" s="21"/>
      <c r="O41" s="12">
        <f t="shared" si="6"/>
        <v>6575.92</v>
      </c>
      <c r="P41" s="15">
        <f t="shared" si="5"/>
        <v>6576.08</v>
      </c>
      <c r="T41" s="20"/>
    </row>
    <row r="42" spans="1:20" x14ac:dyDescent="0.3">
      <c r="A42" t="s">
        <v>110</v>
      </c>
      <c r="B42" s="16">
        <v>0</v>
      </c>
      <c r="C42" s="22"/>
      <c r="D42" s="20"/>
      <c r="E42" s="20">
        <v>180</v>
      </c>
      <c r="F42" s="20"/>
      <c r="G42" s="20"/>
      <c r="H42" s="20"/>
      <c r="I42" s="20"/>
      <c r="J42" s="20"/>
      <c r="K42" s="20"/>
      <c r="L42" s="20"/>
      <c r="M42" s="20"/>
      <c r="N42" s="21"/>
      <c r="O42" s="12">
        <f t="shared" si="6"/>
        <v>180</v>
      </c>
      <c r="P42" s="15">
        <f t="shared" si="5"/>
        <v>-180</v>
      </c>
      <c r="T42" s="20"/>
    </row>
    <row r="43" spans="1:20" x14ac:dyDescent="0.3">
      <c r="A43" t="s">
        <v>106</v>
      </c>
      <c r="B43" s="16">
        <v>0</v>
      </c>
      <c r="C43" s="22"/>
      <c r="D43" s="20">
        <v>57.46</v>
      </c>
      <c r="E43" s="20"/>
      <c r="F43" s="20"/>
      <c r="G43" s="20"/>
      <c r="H43" s="20"/>
      <c r="I43" s="20"/>
      <c r="J43" s="20"/>
      <c r="K43" s="20"/>
      <c r="L43" s="20"/>
      <c r="M43" s="20"/>
      <c r="N43" s="21"/>
      <c r="O43" s="12">
        <f t="shared" si="6"/>
        <v>57.46</v>
      </c>
      <c r="P43" s="15">
        <f t="shared" si="5"/>
        <v>-57.46</v>
      </c>
      <c r="T43" s="20"/>
    </row>
    <row r="44" spans="1:20" x14ac:dyDescent="0.3">
      <c r="A44" t="s">
        <v>86</v>
      </c>
      <c r="B44" s="16">
        <v>0</v>
      </c>
      <c r="C44" s="22">
        <f>28.8</f>
        <v>28.8</v>
      </c>
      <c r="D44" s="20"/>
      <c r="E44" s="20"/>
      <c r="F44" s="20">
        <f>40.62+118.33+16.29</f>
        <v>175.23999999999998</v>
      </c>
      <c r="G44" s="20"/>
      <c r="H44" s="20">
        <v>27</v>
      </c>
      <c r="I44" s="20"/>
      <c r="J44" s="20"/>
      <c r="K44" s="20"/>
      <c r="L44" s="20"/>
      <c r="M44" s="20"/>
      <c r="N44" s="21"/>
      <c r="O44" s="12">
        <f t="shared" si="6"/>
        <v>231.04</v>
      </c>
      <c r="P44" s="15">
        <f t="shared" si="5"/>
        <v>-231.04</v>
      </c>
      <c r="T44" s="20"/>
    </row>
    <row r="45" spans="1:20" x14ac:dyDescent="0.3">
      <c r="A45" t="s">
        <v>88</v>
      </c>
      <c r="B45" s="16">
        <v>0</v>
      </c>
      <c r="C45" s="22">
        <v>0</v>
      </c>
      <c r="D45" s="20">
        <v>1020</v>
      </c>
      <c r="E45" s="20"/>
      <c r="F45" s="20"/>
      <c r="G45" s="20"/>
      <c r="H45" s="20"/>
      <c r="I45" s="20"/>
      <c r="J45" s="20"/>
      <c r="K45" s="20"/>
      <c r="L45" s="20"/>
      <c r="M45" s="20"/>
      <c r="N45" s="21"/>
      <c r="O45" s="12">
        <f t="shared" si="6"/>
        <v>1020</v>
      </c>
      <c r="P45" s="15">
        <f t="shared" si="5"/>
        <v>-1020</v>
      </c>
      <c r="T45" s="20"/>
    </row>
    <row r="46" spans="1:20" x14ac:dyDescent="0.3">
      <c r="A46" s="24" t="s">
        <v>24</v>
      </c>
      <c r="B46" s="34">
        <f t="shared" ref="B46:P46" si="7">SUM(B17:B45)</f>
        <v>36717</v>
      </c>
      <c r="C46" s="35">
        <f t="shared" si="7"/>
        <v>4715.7700000000004</v>
      </c>
      <c r="D46" s="35">
        <f t="shared" si="7"/>
        <v>2270.23</v>
      </c>
      <c r="E46" s="35">
        <f t="shared" si="7"/>
        <v>11626.14</v>
      </c>
      <c r="F46" s="35">
        <f t="shared" si="7"/>
        <v>1176.1400000000001</v>
      </c>
      <c r="G46" s="35">
        <f t="shared" si="7"/>
        <v>1370.46</v>
      </c>
      <c r="H46" s="35">
        <f t="shared" si="7"/>
        <v>1427.62</v>
      </c>
      <c r="I46" s="35">
        <f t="shared" si="7"/>
        <v>0</v>
      </c>
      <c r="J46" s="35">
        <f t="shared" si="7"/>
        <v>0</v>
      </c>
      <c r="K46" s="35">
        <f t="shared" si="7"/>
        <v>0</v>
      </c>
      <c r="L46" s="35">
        <f t="shared" si="7"/>
        <v>0</v>
      </c>
      <c r="M46" s="35">
        <f t="shared" si="7"/>
        <v>0</v>
      </c>
      <c r="N46" s="35">
        <f t="shared" si="7"/>
        <v>0</v>
      </c>
      <c r="O46" s="65">
        <f t="shared" si="7"/>
        <v>22576.36</v>
      </c>
      <c r="P46" s="36">
        <f t="shared" si="7"/>
        <v>14020.639999999998</v>
      </c>
      <c r="T46" s="37"/>
    </row>
    <row r="47" spans="1:20" x14ac:dyDescent="0.3">
      <c r="B47" s="16"/>
      <c r="C47" s="22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1"/>
      <c r="O47" s="12"/>
      <c r="P47" s="15"/>
    </row>
    <row r="48" spans="1:20" ht="23.4" x14ac:dyDescent="0.45">
      <c r="A48" s="1" t="s">
        <v>45</v>
      </c>
      <c r="B48" s="16"/>
      <c r="C48" s="22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12"/>
      <c r="P48" s="15"/>
    </row>
    <row r="49" spans="1:18" ht="23.4" x14ac:dyDescent="0.45">
      <c r="A49" s="1" t="s">
        <v>47</v>
      </c>
      <c r="C49" s="3"/>
      <c r="N49" s="4"/>
      <c r="P49" s="5"/>
    </row>
    <row r="50" spans="1:18" x14ac:dyDescent="0.3">
      <c r="B50" s="12"/>
      <c r="C50" s="22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1"/>
      <c r="O50" s="12"/>
      <c r="P50" s="15"/>
    </row>
    <row r="51" spans="1:18" x14ac:dyDescent="0.3">
      <c r="A51" s="24" t="s">
        <v>25</v>
      </c>
      <c r="B51" s="12"/>
      <c r="C51" s="22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1"/>
      <c r="O51" s="12"/>
      <c r="P51" s="15"/>
      <c r="Q51" s="2"/>
    </row>
    <row r="52" spans="1:18" x14ac:dyDescent="0.3">
      <c r="A52" t="s">
        <v>26</v>
      </c>
      <c r="B52" s="12"/>
      <c r="C52" s="22">
        <f>2+581.7+24+65.05+1.5+1.33</f>
        <v>675.58</v>
      </c>
      <c r="D52" s="20">
        <f>11.49+2+47.53</f>
        <v>61.02</v>
      </c>
      <c r="E52" s="20">
        <f>36+2.83+2</f>
        <v>40.83</v>
      </c>
      <c r="F52" s="20">
        <f>8.13+1.83+26.95+2.07</f>
        <v>38.979999999999997</v>
      </c>
      <c r="G52" s="20">
        <f>14+7+64.4+9+2</f>
        <v>96.4</v>
      </c>
      <c r="H52" s="20">
        <f>111.22+2.33+6.59+2.07+2</f>
        <v>124.21</v>
      </c>
      <c r="I52" s="20"/>
      <c r="J52" s="20"/>
      <c r="K52" s="20"/>
      <c r="L52" s="20"/>
      <c r="M52" s="20"/>
      <c r="N52" s="21"/>
      <c r="O52" s="12">
        <f t="shared" ref="O52:O53" si="8">SUM(C52:N52)</f>
        <v>1037.02</v>
      </c>
      <c r="P52" s="15"/>
      <c r="Q52" s="40"/>
      <c r="R52" s="2"/>
    </row>
    <row r="53" spans="1:18" x14ac:dyDescent="0.3">
      <c r="A53" t="s">
        <v>27</v>
      </c>
      <c r="B53" s="12"/>
      <c r="C53" s="22">
        <v>0</v>
      </c>
      <c r="D53" s="20"/>
      <c r="E53" s="20"/>
      <c r="F53" s="20"/>
      <c r="G53" s="20">
        <f>2365.48</f>
        <v>2365.48</v>
      </c>
      <c r="H53" s="20"/>
      <c r="I53" s="20"/>
      <c r="J53" s="20"/>
      <c r="K53" s="20"/>
      <c r="L53" s="20"/>
      <c r="M53" s="20"/>
      <c r="N53" s="21"/>
      <c r="O53" s="20">
        <f t="shared" si="8"/>
        <v>2365.48</v>
      </c>
      <c r="P53" s="15"/>
      <c r="Q53" s="2"/>
    </row>
    <row r="54" spans="1:18" x14ac:dyDescent="0.3">
      <c r="A54" t="s">
        <v>28</v>
      </c>
      <c r="B54" s="41">
        <f>SUM(B52:B53)</f>
        <v>0</v>
      </c>
      <c r="C54" s="41">
        <f>C53-C52</f>
        <v>-675.58</v>
      </c>
      <c r="D54" s="41">
        <f t="shared" ref="D54:N54" si="9">D53-D52</f>
        <v>-61.02</v>
      </c>
      <c r="E54" s="41">
        <f t="shared" si="9"/>
        <v>-40.83</v>
      </c>
      <c r="F54" s="41">
        <f t="shared" si="9"/>
        <v>-38.979999999999997</v>
      </c>
      <c r="G54" s="41">
        <f t="shared" si="9"/>
        <v>2269.08</v>
      </c>
      <c r="H54" s="41">
        <f t="shared" si="9"/>
        <v>-124.21</v>
      </c>
      <c r="I54" s="41">
        <f t="shared" si="9"/>
        <v>0</v>
      </c>
      <c r="J54" s="41">
        <f t="shared" si="9"/>
        <v>0</v>
      </c>
      <c r="K54" s="41">
        <f t="shared" si="9"/>
        <v>0</v>
      </c>
      <c r="L54" s="41">
        <f t="shared" si="9"/>
        <v>0</v>
      </c>
      <c r="M54" s="41">
        <f t="shared" si="9"/>
        <v>0</v>
      </c>
      <c r="N54" s="41">
        <f t="shared" si="9"/>
        <v>0</v>
      </c>
      <c r="O54" s="42">
        <f t="shared" ref="O54:P54" si="10">SUM(O52:O53)</f>
        <v>3402.5</v>
      </c>
      <c r="P54" s="27">
        <f t="shared" si="10"/>
        <v>0</v>
      </c>
    </row>
    <row r="55" spans="1:18" x14ac:dyDescent="0.3">
      <c r="B55" s="37"/>
      <c r="C55" s="22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43"/>
      <c r="P55" s="38"/>
    </row>
    <row r="56" spans="1:18" x14ac:dyDescent="0.3">
      <c r="B56" s="37"/>
      <c r="C56" s="22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43"/>
      <c r="P56" s="38"/>
    </row>
    <row r="57" spans="1:18" x14ac:dyDescent="0.3">
      <c r="B57" s="37"/>
      <c r="C57" s="22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43"/>
      <c r="P57" s="38"/>
    </row>
    <row r="58" spans="1:18" x14ac:dyDescent="0.3">
      <c r="B58" s="12"/>
      <c r="C58" s="22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1"/>
      <c r="O58" s="12"/>
      <c r="P58" s="15"/>
    </row>
    <row r="59" spans="1:18" x14ac:dyDescent="0.3">
      <c r="A59" s="24" t="s">
        <v>29</v>
      </c>
      <c r="B59" s="12"/>
      <c r="C59" s="22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1"/>
      <c r="O59" s="12"/>
      <c r="P59" s="15"/>
    </row>
    <row r="60" spans="1:18" x14ac:dyDescent="0.3">
      <c r="A60" t="s">
        <v>30</v>
      </c>
      <c r="B60" s="12"/>
      <c r="C60" s="44">
        <f>2130.27</f>
        <v>2130.27</v>
      </c>
      <c r="D60" s="18"/>
      <c r="E60" s="18"/>
      <c r="F60" s="18"/>
      <c r="G60" s="18"/>
      <c r="H60" s="18"/>
      <c r="I60" s="19"/>
      <c r="J60" s="20"/>
      <c r="K60" s="20"/>
      <c r="L60" s="20"/>
      <c r="M60" s="20"/>
      <c r="N60" s="21"/>
      <c r="O60" s="12">
        <f t="shared" ref="O60:O61" si="11">SUM(C60:N60)</f>
        <v>2130.27</v>
      </c>
      <c r="P60" s="15"/>
    </row>
    <row r="61" spans="1:18" x14ac:dyDescent="0.3">
      <c r="A61" t="s">
        <v>31</v>
      </c>
      <c r="B61" s="12"/>
      <c r="C61" s="22">
        <v>0</v>
      </c>
      <c r="D61" s="20">
        <v>1224.3399999999999</v>
      </c>
      <c r="E61" s="20"/>
      <c r="F61" s="20"/>
      <c r="G61" s="20"/>
      <c r="H61" s="20"/>
      <c r="I61" s="20"/>
      <c r="J61" s="20"/>
      <c r="K61" s="20"/>
      <c r="L61" s="20"/>
      <c r="M61" s="20"/>
      <c r="N61" s="21"/>
      <c r="O61" s="12">
        <f t="shared" si="11"/>
        <v>1224.3399999999999</v>
      </c>
      <c r="P61" s="15"/>
    </row>
    <row r="62" spans="1:18" hidden="1" x14ac:dyDescent="0.3">
      <c r="A62" t="s">
        <v>32</v>
      </c>
      <c r="B62" s="12"/>
      <c r="C62" s="22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1"/>
      <c r="O62" s="12"/>
      <c r="P62" s="15"/>
    </row>
    <row r="63" spans="1:18" hidden="1" x14ac:dyDescent="0.3">
      <c r="A63" t="s">
        <v>33</v>
      </c>
      <c r="B63" s="12"/>
      <c r="C63" s="22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1"/>
      <c r="O63" s="12"/>
      <c r="P63" s="15"/>
    </row>
    <row r="64" spans="1:18" x14ac:dyDescent="0.3">
      <c r="B64" s="27">
        <f t="shared" ref="B64:P64" si="12">SUM(B60:B63)</f>
        <v>0</v>
      </c>
      <c r="C64" s="26">
        <f t="shared" si="12"/>
        <v>2130.27</v>
      </c>
      <c r="D64" s="26">
        <f t="shared" si="12"/>
        <v>1224.3399999999999</v>
      </c>
      <c r="E64" s="26">
        <f t="shared" si="12"/>
        <v>0</v>
      </c>
      <c r="F64" s="26">
        <f t="shared" si="12"/>
        <v>0</v>
      </c>
      <c r="G64" s="26">
        <f t="shared" si="12"/>
        <v>0</v>
      </c>
      <c r="H64" s="26">
        <f t="shared" si="12"/>
        <v>0</v>
      </c>
      <c r="I64" s="26">
        <f t="shared" si="12"/>
        <v>0</v>
      </c>
      <c r="J64" s="26">
        <f t="shared" si="12"/>
        <v>0</v>
      </c>
      <c r="K64" s="26">
        <f t="shared" si="12"/>
        <v>0</v>
      </c>
      <c r="L64" s="26"/>
      <c r="M64" s="26">
        <f t="shared" si="12"/>
        <v>0</v>
      </c>
      <c r="N64" s="26">
        <f t="shared" si="12"/>
        <v>0</v>
      </c>
      <c r="O64" s="27">
        <f t="shared" si="12"/>
        <v>3354.6099999999997</v>
      </c>
      <c r="P64" s="28">
        <f t="shared" si="12"/>
        <v>0</v>
      </c>
    </row>
    <row r="66" spans="1:20" x14ac:dyDescent="0.3">
      <c r="A66" s="24" t="s">
        <v>34</v>
      </c>
      <c r="P66" s="39"/>
    </row>
    <row r="67" spans="1:20" x14ac:dyDescent="0.3">
      <c r="A67" t="s">
        <v>35</v>
      </c>
      <c r="B67" s="45"/>
      <c r="C67" s="46">
        <f>B77</f>
        <v>40811.58</v>
      </c>
      <c r="D67" s="45">
        <f>C72</f>
        <v>55768.999999999993</v>
      </c>
      <c r="E67" s="45">
        <f t="shared" ref="E67:N67" si="13">D72</f>
        <v>52220.909999999996</v>
      </c>
      <c r="F67" s="45">
        <f t="shared" si="13"/>
        <v>40736.99</v>
      </c>
      <c r="G67" s="45">
        <f t="shared" si="13"/>
        <v>39529.369999999995</v>
      </c>
      <c r="H67" s="45">
        <f t="shared" si="13"/>
        <v>40427.99</v>
      </c>
      <c r="I67" s="45">
        <f t="shared" si="13"/>
        <v>56172.069999999992</v>
      </c>
      <c r="J67" s="45">
        <f t="shared" si="13"/>
        <v>56172.069999999992</v>
      </c>
      <c r="K67" s="45">
        <f t="shared" si="13"/>
        <v>56172.069999999992</v>
      </c>
      <c r="L67" s="45">
        <f t="shared" si="13"/>
        <v>56172.069999999992</v>
      </c>
      <c r="M67" s="45">
        <f>L72</f>
        <v>56172.069999999992</v>
      </c>
      <c r="N67" s="45">
        <f t="shared" si="13"/>
        <v>56172.069999999992</v>
      </c>
      <c r="O67" s="45"/>
    </row>
    <row r="68" spans="1:20" x14ac:dyDescent="0.3">
      <c r="A68" t="s">
        <v>36</v>
      </c>
      <c r="B68" s="45"/>
      <c r="C68" s="46">
        <f t="shared" ref="C68:N68" si="14">C14</f>
        <v>18218.5</v>
      </c>
      <c r="D68" s="46">
        <f t="shared" si="14"/>
        <v>7.5</v>
      </c>
      <c r="E68" s="46">
        <f t="shared" si="14"/>
        <v>183.05</v>
      </c>
      <c r="F68" s="46">
        <f t="shared" si="14"/>
        <v>7.5</v>
      </c>
      <c r="G68" s="46">
        <f t="shared" si="14"/>
        <v>0</v>
      </c>
      <c r="H68" s="46">
        <f t="shared" si="14"/>
        <v>17295.91</v>
      </c>
      <c r="I68" s="46">
        <f t="shared" si="14"/>
        <v>0</v>
      </c>
      <c r="J68" s="46">
        <f t="shared" si="14"/>
        <v>0</v>
      </c>
      <c r="K68" s="46">
        <f t="shared" si="14"/>
        <v>0</v>
      </c>
      <c r="L68" s="46">
        <f t="shared" si="14"/>
        <v>0</v>
      </c>
      <c r="M68" s="46">
        <f t="shared" si="14"/>
        <v>0</v>
      </c>
      <c r="N68" s="46">
        <f t="shared" si="14"/>
        <v>0</v>
      </c>
      <c r="O68" s="46"/>
    </row>
    <row r="69" spans="1:20" x14ac:dyDescent="0.3">
      <c r="A69" t="s">
        <v>37</v>
      </c>
      <c r="B69" s="45">
        <f>C68+C71</f>
        <v>20348.77</v>
      </c>
      <c r="C69" s="46">
        <f>-C46</f>
        <v>-4715.7700000000004</v>
      </c>
      <c r="D69" s="46">
        <f>-D46</f>
        <v>-2270.23</v>
      </c>
      <c r="E69" s="46">
        <f>-E46</f>
        <v>-11626.14</v>
      </c>
      <c r="F69" s="46">
        <f>-F46</f>
        <v>-1176.1400000000001</v>
      </c>
      <c r="G69" s="46">
        <f t="shared" ref="G69:N69" si="15">-G46</f>
        <v>-1370.46</v>
      </c>
      <c r="H69" s="46">
        <f t="shared" si="15"/>
        <v>-1427.62</v>
      </c>
      <c r="I69" s="46">
        <f t="shared" si="15"/>
        <v>0</v>
      </c>
      <c r="J69" s="46">
        <f t="shared" si="15"/>
        <v>0</v>
      </c>
      <c r="K69" s="46">
        <f t="shared" si="15"/>
        <v>0</v>
      </c>
      <c r="L69" s="46">
        <f t="shared" si="15"/>
        <v>0</v>
      </c>
      <c r="M69" s="46">
        <f t="shared" si="15"/>
        <v>0</v>
      </c>
      <c r="N69" s="46">
        <f t="shared" si="15"/>
        <v>0</v>
      </c>
      <c r="O69" s="46"/>
    </row>
    <row r="70" spans="1:20" x14ac:dyDescent="0.3">
      <c r="A70" t="s">
        <v>38</v>
      </c>
      <c r="B70" s="45">
        <f>-C69-C70</f>
        <v>5391.35</v>
      </c>
      <c r="C70" s="46">
        <f t="shared" ref="C70:N70" si="16">C54</f>
        <v>-675.58</v>
      </c>
      <c r="D70" s="46">
        <f t="shared" si="16"/>
        <v>-61.02</v>
      </c>
      <c r="E70" s="46">
        <f t="shared" si="16"/>
        <v>-40.83</v>
      </c>
      <c r="F70" s="46">
        <f t="shared" si="16"/>
        <v>-38.979999999999997</v>
      </c>
      <c r="G70" s="46">
        <f t="shared" si="16"/>
        <v>2269.08</v>
      </c>
      <c r="H70" s="46">
        <f t="shared" si="16"/>
        <v>-124.21</v>
      </c>
      <c r="I70" s="46">
        <f t="shared" si="16"/>
        <v>0</v>
      </c>
      <c r="J70" s="46">
        <f t="shared" si="16"/>
        <v>0</v>
      </c>
      <c r="K70" s="46">
        <f t="shared" si="16"/>
        <v>0</v>
      </c>
      <c r="L70" s="46">
        <f t="shared" si="16"/>
        <v>0</v>
      </c>
      <c r="M70" s="46">
        <f t="shared" si="16"/>
        <v>0</v>
      </c>
      <c r="N70" s="46">
        <f t="shared" si="16"/>
        <v>0</v>
      </c>
      <c r="O70" s="46"/>
    </row>
    <row r="71" spans="1:20" x14ac:dyDescent="0.3">
      <c r="A71" t="s">
        <v>39</v>
      </c>
      <c r="B71" s="45"/>
      <c r="C71" s="46">
        <f t="shared" ref="C71:N71" si="17">C60-C61</f>
        <v>2130.27</v>
      </c>
      <c r="D71" s="46">
        <f t="shared" si="17"/>
        <v>-1224.3399999999999</v>
      </c>
      <c r="E71" s="46">
        <f t="shared" si="17"/>
        <v>0</v>
      </c>
      <c r="F71" s="46">
        <f t="shared" si="17"/>
        <v>0</v>
      </c>
      <c r="G71" s="46">
        <f t="shared" si="17"/>
        <v>0</v>
      </c>
      <c r="H71" s="46">
        <f t="shared" si="17"/>
        <v>0</v>
      </c>
      <c r="I71" s="46">
        <f t="shared" si="17"/>
        <v>0</v>
      </c>
      <c r="J71" s="46">
        <f t="shared" si="17"/>
        <v>0</v>
      </c>
      <c r="K71" s="46">
        <f t="shared" si="17"/>
        <v>0</v>
      </c>
      <c r="L71" s="46">
        <f t="shared" si="17"/>
        <v>0</v>
      </c>
      <c r="M71" s="46">
        <f t="shared" si="17"/>
        <v>0</v>
      </c>
      <c r="N71" s="46">
        <f t="shared" si="17"/>
        <v>0</v>
      </c>
      <c r="O71" s="46"/>
    </row>
    <row r="72" spans="1:20" x14ac:dyDescent="0.3">
      <c r="A72" t="s">
        <v>40</v>
      </c>
      <c r="C72" s="47">
        <f t="shared" ref="C72:O72" si="18">SUM(C67:C71)</f>
        <v>55768.999999999993</v>
      </c>
      <c r="D72" s="47">
        <f t="shared" si="18"/>
        <v>52220.909999999996</v>
      </c>
      <c r="E72" s="47">
        <f t="shared" si="18"/>
        <v>40736.99</v>
      </c>
      <c r="F72" s="47">
        <f t="shared" si="18"/>
        <v>39529.369999999995</v>
      </c>
      <c r="G72" s="47">
        <f t="shared" si="18"/>
        <v>40427.99</v>
      </c>
      <c r="H72" s="47">
        <f t="shared" si="18"/>
        <v>56172.069999999992</v>
      </c>
      <c r="I72" s="47">
        <f t="shared" si="18"/>
        <v>56172.069999999992</v>
      </c>
      <c r="J72" s="47">
        <f t="shared" si="18"/>
        <v>56172.069999999992</v>
      </c>
      <c r="K72" s="47">
        <f t="shared" si="18"/>
        <v>56172.069999999992</v>
      </c>
      <c r="L72" s="47">
        <f t="shared" si="18"/>
        <v>56172.069999999992</v>
      </c>
      <c r="M72" s="47">
        <f t="shared" si="18"/>
        <v>56172.069999999992</v>
      </c>
      <c r="N72" s="47">
        <f t="shared" si="18"/>
        <v>56172.069999999992</v>
      </c>
      <c r="O72" s="47">
        <f t="shared" si="18"/>
        <v>0</v>
      </c>
    </row>
    <row r="73" spans="1:20" x14ac:dyDescent="0.3">
      <c r="H73" s="7"/>
      <c r="Q73" s="39"/>
    </row>
    <row r="74" spans="1:20" x14ac:dyDescent="0.3">
      <c r="A74" s="48" t="s">
        <v>41</v>
      </c>
      <c r="B74" s="49" t="s">
        <v>48</v>
      </c>
      <c r="C74" s="7" t="s">
        <v>90</v>
      </c>
      <c r="D74" s="7" t="s">
        <v>91</v>
      </c>
      <c r="E74" s="7" t="s">
        <v>150</v>
      </c>
      <c r="F74" s="7" t="s">
        <v>92</v>
      </c>
      <c r="G74" s="7" t="s">
        <v>93</v>
      </c>
      <c r="H74" s="7" t="s">
        <v>94</v>
      </c>
      <c r="I74" s="7" t="s">
        <v>95</v>
      </c>
      <c r="J74" s="7" t="s">
        <v>96</v>
      </c>
      <c r="K74" s="7" t="s">
        <v>97</v>
      </c>
      <c r="L74" s="7" t="s">
        <v>98</v>
      </c>
      <c r="M74" s="7" t="s">
        <v>99</v>
      </c>
      <c r="N74" s="7" t="s">
        <v>49</v>
      </c>
      <c r="O74" s="7"/>
      <c r="Q74" s="39"/>
    </row>
    <row r="75" spans="1:20" x14ac:dyDescent="0.3">
      <c r="A75" t="s">
        <v>42</v>
      </c>
      <c r="B75" s="50">
        <v>14113.02</v>
      </c>
      <c r="C75" s="50">
        <v>29070.44</v>
      </c>
      <c r="D75" s="50">
        <v>25522.35</v>
      </c>
      <c r="E75" s="50">
        <v>13855.38</v>
      </c>
      <c r="F75" s="50">
        <v>12647.76</v>
      </c>
      <c r="G75" s="50">
        <v>13125.6</v>
      </c>
      <c r="H75" s="50">
        <v>28682.27</v>
      </c>
      <c r="I75" s="50"/>
      <c r="J75" s="50"/>
      <c r="K75" s="50"/>
      <c r="L75" s="50"/>
      <c r="M75" s="50"/>
      <c r="N75" s="50"/>
      <c r="O75" s="50"/>
      <c r="Q75" s="39"/>
      <c r="T75" s="50"/>
    </row>
    <row r="76" spans="1:20" x14ac:dyDescent="0.3">
      <c r="A76" t="s">
        <v>43</v>
      </c>
      <c r="B76" s="20">
        <v>26698.560000000001</v>
      </c>
      <c r="C76" s="20">
        <v>26698.560000000001</v>
      </c>
      <c r="D76" s="20">
        <v>26698.560000000001</v>
      </c>
      <c r="E76" s="20">
        <v>26881.61</v>
      </c>
      <c r="F76" s="20">
        <v>26881.61</v>
      </c>
      <c r="G76" s="20">
        <v>27302.39</v>
      </c>
      <c r="H76" s="20">
        <v>27489.8</v>
      </c>
      <c r="I76" s="20"/>
      <c r="J76" s="20"/>
      <c r="K76" s="20"/>
      <c r="L76" s="20"/>
      <c r="M76" s="20"/>
      <c r="N76" s="20"/>
      <c r="O76" s="20"/>
      <c r="T76" s="20"/>
    </row>
    <row r="77" spans="1:20" x14ac:dyDescent="0.3">
      <c r="B77" s="51">
        <f t="shared" ref="B77:O77" si="19">SUM(B75:B76)</f>
        <v>40811.58</v>
      </c>
      <c r="C77" s="52">
        <f t="shared" si="19"/>
        <v>55769</v>
      </c>
      <c r="D77" s="52">
        <f t="shared" si="19"/>
        <v>52220.91</v>
      </c>
      <c r="E77" s="52">
        <f t="shared" si="19"/>
        <v>40736.99</v>
      </c>
      <c r="F77" s="52">
        <f t="shared" si="19"/>
        <v>39529.370000000003</v>
      </c>
      <c r="G77" s="52">
        <f t="shared" si="19"/>
        <v>40427.99</v>
      </c>
      <c r="H77" s="52">
        <f t="shared" si="19"/>
        <v>56172.07</v>
      </c>
      <c r="I77" s="52">
        <f t="shared" si="19"/>
        <v>0</v>
      </c>
      <c r="J77" s="52">
        <f t="shared" si="19"/>
        <v>0</v>
      </c>
      <c r="K77" s="52">
        <f t="shared" si="19"/>
        <v>0</v>
      </c>
      <c r="L77" s="52">
        <f t="shared" si="19"/>
        <v>0</v>
      </c>
      <c r="M77" s="52">
        <f t="shared" si="19"/>
        <v>0</v>
      </c>
      <c r="N77" s="52">
        <f t="shared" si="19"/>
        <v>0</v>
      </c>
      <c r="O77" s="52">
        <f t="shared" si="19"/>
        <v>0</v>
      </c>
    </row>
    <row r="79" spans="1:20" x14ac:dyDescent="0.3">
      <c r="A79" s="33" t="s">
        <v>44</v>
      </c>
      <c r="C79" s="39">
        <f t="shared" ref="C79:O79" si="20">C72-C77</f>
        <v>0</v>
      </c>
      <c r="D79" s="39">
        <f t="shared" si="20"/>
        <v>0</v>
      </c>
      <c r="E79" s="39">
        <f t="shared" si="20"/>
        <v>0</v>
      </c>
      <c r="F79" s="39">
        <f t="shared" si="20"/>
        <v>0</v>
      </c>
      <c r="G79" s="39">
        <f t="shared" si="20"/>
        <v>0</v>
      </c>
      <c r="H79" s="39">
        <f t="shared" si="20"/>
        <v>0</v>
      </c>
      <c r="I79" s="39">
        <f t="shared" si="20"/>
        <v>56172.069999999992</v>
      </c>
      <c r="J79" s="39">
        <f t="shared" si="20"/>
        <v>56172.069999999992</v>
      </c>
      <c r="K79" s="39">
        <f t="shared" si="20"/>
        <v>56172.069999999992</v>
      </c>
      <c r="L79" s="39">
        <f t="shared" si="20"/>
        <v>56172.069999999992</v>
      </c>
      <c r="M79" s="39">
        <f t="shared" si="20"/>
        <v>56172.069999999992</v>
      </c>
      <c r="N79" s="39">
        <f t="shared" si="20"/>
        <v>56172.069999999992</v>
      </c>
      <c r="O79" s="39">
        <f t="shared" si="20"/>
        <v>0</v>
      </c>
      <c r="Q79" s="39"/>
    </row>
    <row r="80" spans="1:20" x14ac:dyDescent="0.3">
      <c r="D80" s="39"/>
      <c r="N80" s="39"/>
    </row>
  </sheetData>
  <pageMargins left="0.7" right="0.7" top="0.75" bottom="0.75" header="0.3" footer="0.3"/>
  <pageSetup scale="44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431E-CACF-48D0-97FF-AE31D880FBB5}">
  <dimension ref="A1:O31"/>
  <sheetViews>
    <sheetView tabSelected="1" workbookViewId="0">
      <selection activeCell="O10" sqref="O10"/>
    </sheetView>
  </sheetViews>
  <sheetFormatPr defaultRowHeight="14.4" x14ac:dyDescent="0.3"/>
  <cols>
    <col min="1" max="1" width="21.33203125" customWidth="1"/>
    <col min="2" max="3" width="10.5546875" customWidth="1"/>
    <col min="4" max="4" width="9.109375" bestFit="1" customWidth="1"/>
    <col min="6" max="8" width="9.109375" customWidth="1"/>
    <col min="9" max="14" width="9.109375" hidden="1" customWidth="1"/>
  </cols>
  <sheetData>
    <row r="1" spans="1:15" ht="23.4" x14ac:dyDescent="0.45">
      <c r="A1" s="70" t="s">
        <v>45</v>
      </c>
    </row>
    <row r="2" spans="1:15" ht="23.4" x14ac:dyDescent="0.45">
      <c r="A2" s="70" t="s">
        <v>114</v>
      </c>
    </row>
    <row r="4" spans="1:15" x14ac:dyDescent="0.3">
      <c r="B4" s="7" t="s">
        <v>115</v>
      </c>
      <c r="O4" s="7" t="s">
        <v>116</v>
      </c>
    </row>
    <row r="5" spans="1:15" x14ac:dyDescent="0.3">
      <c r="B5" s="7" t="s">
        <v>117</v>
      </c>
      <c r="C5" s="7" t="s">
        <v>118</v>
      </c>
      <c r="D5" s="7" t="s">
        <v>3</v>
      </c>
      <c r="E5" s="7" t="s">
        <v>4</v>
      </c>
      <c r="F5" s="7" t="s">
        <v>5</v>
      </c>
      <c r="G5" s="7" t="s">
        <v>119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120</v>
      </c>
      <c r="O5" s="7" t="s">
        <v>121</v>
      </c>
    </row>
    <row r="8" spans="1:15" x14ac:dyDescent="0.3">
      <c r="A8" s="24" t="s">
        <v>122</v>
      </c>
    </row>
    <row r="9" spans="1:15" x14ac:dyDescent="0.3">
      <c r="O9" s="45"/>
    </row>
    <row r="10" spans="1:15" x14ac:dyDescent="0.3">
      <c r="A10" t="s">
        <v>123</v>
      </c>
      <c r="B10" s="45">
        <v>150.69999999999999</v>
      </c>
      <c r="C10" s="45">
        <f>90-28.8</f>
        <v>61.2</v>
      </c>
      <c r="D10" s="45">
        <f>7.5</f>
        <v>7.5</v>
      </c>
      <c r="E10" s="45"/>
      <c r="F10" s="46">
        <f>7.5-40.62-118.33-16.29</f>
        <v>-167.73999999999998</v>
      </c>
      <c r="G10" s="45"/>
      <c r="H10" s="45">
        <v>-27</v>
      </c>
      <c r="I10" s="45"/>
      <c r="J10" s="45"/>
      <c r="K10" s="45"/>
      <c r="L10" s="45"/>
      <c r="M10" s="45"/>
      <c r="N10" s="45"/>
      <c r="O10" s="45">
        <f>SUM(B10:N10)</f>
        <v>24.659999999999997</v>
      </c>
    </row>
    <row r="11" spans="1:15" x14ac:dyDescent="0.3"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5" x14ac:dyDescent="0.3">
      <c r="A12" t="s">
        <v>124</v>
      </c>
      <c r="B12" s="45">
        <v>438.25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>
        <f>SUM(B12:N12)</f>
        <v>438.25</v>
      </c>
    </row>
    <row r="13" spans="1:15" x14ac:dyDescent="0.3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5" x14ac:dyDescent="0.3">
      <c r="A14" t="s">
        <v>125</v>
      </c>
      <c r="B14" s="45">
        <v>5900</v>
      </c>
      <c r="C14" s="45"/>
      <c r="D14" s="45"/>
      <c r="E14" s="46">
        <v>-180</v>
      </c>
      <c r="F14" s="45"/>
      <c r="G14" s="45"/>
      <c r="H14" s="45"/>
      <c r="I14" s="45"/>
      <c r="J14" s="45"/>
      <c r="K14" s="45"/>
      <c r="L14" s="45"/>
      <c r="M14" s="45"/>
      <c r="N14" s="45"/>
      <c r="O14" s="45">
        <f>SUM(B14:N14)</f>
        <v>5720</v>
      </c>
    </row>
    <row r="15" spans="1:15" x14ac:dyDescent="0.3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1:15" x14ac:dyDescent="0.3">
      <c r="A16" t="s">
        <v>126</v>
      </c>
      <c r="B16" s="45">
        <v>7017.75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>
        <f>SUM(B16:N16)</f>
        <v>7017.75</v>
      </c>
    </row>
    <row r="17" spans="1:15" x14ac:dyDescent="0.3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x14ac:dyDescent="0.3">
      <c r="A18" t="s">
        <v>127</v>
      </c>
      <c r="B18" s="45">
        <v>3329.28</v>
      </c>
      <c r="C18" s="45">
        <v>-2908.5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>
        <f>SUM(B18:N18)</f>
        <v>420.7800000000002</v>
      </c>
    </row>
    <row r="19" spans="1:15" x14ac:dyDescent="0.3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 x14ac:dyDescent="0.3">
      <c r="A20" t="s">
        <v>128</v>
      </c>
      <c r="B20" s="45">
        <v>1000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>
        <f>SUM(B20:N20)</f>
        <v>1000</v>
      </c>
    </row>
    <row r="21" spans="1:15" x14ac:dyDescent="0.3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5" x14ac:dyDescent="0.3">
      <c r="A22" t="s">
        <v>129</v>
      </c>
      <c r="B22" s="45">
        <v>4315.16</v>
      </c>
      <c r="C22" s="45">
        <v>2130.27</v>
      </c>
      <c r="D22" s="45">
        <v>-1224.3399999999999</v>
      </c>
      <c r="E22" s="45">
        <v>0</v>
      </c>
      <c r="F22" s="45"/>
      <c r="G22" s="45"/>
      <c r="H22" s="45"/>
      <c r="I22" s="45"/>
      <c r="J22" s="45"/>
      <c r="K22" s="45"/>
      <c r="L22" s="45"/>
      <c r="M22" s="45"/>
      <c r="N22" s="45"/>
      <c r="O22" s="45">
        <f>SUM(B22:N22)</f>
        <v>5221.09</v>
      </c>
    </row>
    <row r="23" spans="1:15" x14ac:dyDescent="0.3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15" x14ac:dyDescent="0.3">
      <c r="A24" s="24" t="s">
        <v>130</v>
      </c>
      <c r="B24" s="71">
        <f>SUM(B10:B23)</f>
        <v>22151.14</v>
      </c>
      <c r="C24" s="71">
        <f t="shared" ref="C24:O24" si="0">SUM(C10:C23)</f>
        <v>-717.0300000000002</v>
      </c>
      <c r="D24" s="71">
        <f t="shared" si="0"/>
        <v>-1216.8399999999999</v>
      </c>
      <c r="E24" s="71">
        <f t="shared" si="0"/>
        <v>-180</v>
      </c>
      <c r="F24" s="71">
        <f t="shared" si="0"/>
        <v>-167.73999999999998</v>
      </c>
      <c r="G24" s="71">
        <f t="shared" si="0"/>
        <v>0</v>
      </c>
      <c r="H24" s="71">
        <f t="shared" si="0"/>
        <v>-27</v>
      </c>
      <c r="I24" s="71">
        <f t="shared" si="0"/>
        <v>0</v>
      </c>
      <c r="J24" s="71">
        <f t="shared" si="0"/>
        <v>0</v>
      </c>
      <c r="K24" s="71">
        <f t="shared" si="0"/>
        <v>0</v>
      </c>
      <c r="L24" s="71">
        <f t="shared" si="0"/>
        <v>0</v>
      </c>
      <c r="M24" s="71">
        <f t="shared" si="0"/>
        <v>0</v>
      </c>
      <c r="N24" s="71">
        <f t="shared" si="0"/>
        <v>0</v>
      </c>
      <c r="O24" s="71">
        <f t="shared" si="0"/>
        <v>19842.53</v>
      </c>
    </row>
    <row r="25" spans="1:15" x14ac:dyDescent="0.3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1:15" x14ac:dyDescent="0.3">
      <c r="A26" s="24" t="s">
        <v>131</v>
      </c>
      <c r="B26" s="45">
        <v>18660.439999999999</v>
      </c>
      <c r="C26" s="45"/>
      <c r="D26" s="46">
        <v>-57.46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>
        <f>SUM(B26:N26)</f>
        <v>18602.98</v>
      </c>
    </row>
    <row r="27" spans="1:15" x14ac:dyDescent="0.3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 ht="15" thickBot="1" x14ac:dyDescent="0.35">
      <c r="A28" s="24" t="s">
        <v>132</v>
      </c>
      <c r="B28" s="72">
        <f>SUM(B24:B27)</f>
        <v>40811.58</v>
      </c>
      <c r="C28" s="72">
        <f t="shared" ref="C28:O28" si="1">SUM(C24:C27)</f>
        <v>-717.0300000000002</v>
      </c>
      <c r="D28" s="72">
        <f t="shared" si="1"/>
        <v>-1274.3</v>
      </c>
      <c r="E28" s="72">
        <f t="shared" si="1"/>
        <v>-180</v>
      </c>
      <c r="F28" s="72">
        <f t="shared" si="1"/>
        <v>-167.73999999999998</v>
      </c>
      <c r="G28" s="72">
        <f t="shared" si="1"/>
        <v>0</v>
      </c>
      <c r="H28" s="72">
        <f t="shared" si="1"/>
        <v>-27</v>
      </c>
      <c r="I28" s="72">
        <f t="shared" si="1"/>
        <v>0</v>
      </c>
      <c r="J28" s="72">
        <f t="shared" si="1"/>
        <v>0</v>
      </c>
      <c r="K28" s="72">
        <f t="shared" si="1"/>
        <v>0</v>
      </c>
      <c r="L28" s="72">
        <f t="shared" si="1"/>
        <v>0</v>
      </c>
      <c r="M28" s="72">
        <f t="shared" si="1"/>
        <v>0</v>
      </c>
      <c r="N28" s="72">
        <f t="shared" si="1"/>
        <v>0</v>
      </c>
      <c r="O28" s="72">
        <f t="shared" si="1"/>
        <v>38445.509999999995</v>
      </c>
    </row>
    <row r="29" spans="1:15" ht="15" thickTop="1" x14ac:dyDescent="0.3"/>
    <row r="30" spans="1:15" x14ac:dyDescent="0.3">
      <c r="B30" s="7" t="s">
        <v>133</v>
      </c>
    </row>
    <row r="31" spans="1:15" x14ac:dyDescent="0.3">
      <c r="B31" s="7" t="s">
        <v>134</v>
      </c>
    </row>
  </sheetData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07A5-CCCC-42A0-A833-7069F9F4619C}">
  <dimension ref="A1:M89"/>
  <sheetViews>
    <sheetView topLeftCell="A3" workbookViewId="0">
      <selection activeCell="A10" sqref="A10:XFD11"/>
    </sheetView>
  </sheetViews>
  <sheetFormatPr defaultRowHeight="14.4" x14ac:dyDescent="0.3"/>
  <cols>
    <col min="1" max="1" width="30" customWidth="1"/>
    <col min="3" max="4" width="9.5546875" bestFit="1" customWidth="1"/>
    <col min="8" max="8" width="9.5546875" bestFit="1" customWidth="1"/>
    <col min="13" max="13" width="9.5546875" bestFit="1" customWidth="1"/>
  </cols>
  <sheetData>
    <row r="1" spans="1:13" ht="18" x14ac:dyDescent="0.35">
      <c r="A1" s="53" t="s">
        <v>73</v>
      </c>
    </row>
    <row r="3" spans="1:13" x14ac:dyDescent="0.3">
      <c r="A3" s="24" t="s">
        <v>74</v>
      </c>
      <c r="H3" t="s">
        <v>70</v>
      </c>
    </row>
    <row r="4" spans="1:13" x14ac:dyDescent="0.3">
      <c r="A4" t="s">
        <v>102</v>
      </c>
      <c r="C4" s="20">
        <v>2</v>
      </c>
    </row>
    <row r="5" spans="1:13" x14ac:dyDescent="0.3">
      <c r="A5" t="s">
        <v>103</v>
      </c>
      <c r="C5" s="73">
        <v>581.70000000000005</v>
      </c>
      <c r="E5" s="2" t="s">
        <v>136</v>
      </c>
      <c r="M5" s="7" t="s">
        <v>137</v>
      </c>
    </row>
    <row r="6" spans="1:13" x14ac:dyDescent="0.3">
      <c r="A6" t="s">
        <v>104</v>
      </c>
      <c r="C6" s="73">
        <v>24</v>
      </c>
      <c r="E6" s="75" t="s">
        <v>135</v>
      </c>
    </row>
    <row r="7" spans="1:13" x14ac:dyDescent="0.3">
      <c r="A7" t="s">
        <v>105</v>
      </c>
      <c r="C7" s="73">
        <v>1.5</v>
      </c>
      <c r="K7" s="74" t="s">
        <v>138</v>
      </c>
      <c r="M7" s="20">
        <v>1813.21</v>
      </c>
    </row>
    <row r="8" spans="1:13" x14ac:dyDescent="0.3">
      <c r="A8" t="s">
        <v>105</v>
      </c>
      <c r="C8" s="73">
        <v>1.33</v>
      </c>
      <c r="K8" t="s">
        <v>139</v>
      </c>
      <c r="M8" s="20">
        <v>65.05</v>
      </c>
    </row>
    <row r="9" spans="1:13" x14ac:dyDescent="0.3">
      <c r="A9" t="s">
        <v>103</v>
      </c>
      <c r="C9" s="73">
        <v>65.05</v>
      </c>
      <c r="M9" s="20">
        <v>581.70000000000005</v>
      </c>
    </row>
    <row r="10" spans="1:13" x14ac:dyDescent="0.3">
      <c r="C10" s="54"/>
      <c r="D10" s="39">
        <f>SUM(C4:C9)</f>
        <v>675.58</v>
      </c>
      <c r="E10" t="s">
        <v>71</v>
      </c>
      <c r="H10" s="39">
        <f>'Monthly monitoring &amp; reconcilia'!C52</f>
        <v>675.58</v>
      </c>
      <c r="M10" s="20">
        <v>1.33</v>
      </c>
    </row>
    <row r="11" spans="1:13" x14ac:dyDescent="0.3">
      <c r="A11" s="24" t="s">
        <v>75</v>
      </c>
      <c r="M11" s="52">
        <f>SUM(M7:M10)</f>
        <v>2461.29</v>
      </c>
    </row>
    <row r="12" spans="1:13" x14ac:dyDescent="0.3">
      <c r="A12" t="s">
        <v>107</v>
      </c>
      <c r="C12" s="20">
        <v>11.49</v>
      </c>
      <c r="M12" s="20"/>
    </row>
    <row r="13" spans="1:13" x14ac:dyDescent="0.3">
      <c r="A13" t="s">
        <v>102</v>
      </c>
      <c r="C13" s="20">
        <v>2</v>
      </c>
      <c r="M13" s="20"/>
    </row>
    <row r="14" spans="1:13" x14ac:dyDescent="0.3">
      <c r="A14" t="s">
        <v>108</v>
      </c>
      <c r="C14" s="20">
        <v>47.53</v>
      </c>
    </row>
    <row r="15" spans="1:13" x14ac:dyDescent="0.3">
      <c r="C15" s="54"/>
      <c r="D15" s="39">
        <f>SUM(C12:C14)</f>
        <v>61.02</v>
      </c>
      <c r="E15" t="s">
        <v>71</v>
      </c>
      <c r="H15" s="39">
        <f>'Monthly monitoring &amp; reconcilia'!D52</f>
        <v>61.02</v>
      </c>
      <c r="M15" s="20"/>
    </row>
    <row r="16" spans="1:13" x14ac:dyDescent="0.3">
      <c r="A16" s="24" t="s">
        <v>76</v>
      </c>
    </row>
    <row r="17" spans="1:8" x14ac:dyDescent="0.3">
      <c r="A17" t="s">
        <v>111</v>
      </c>
      <c r="C17" s="20">
        <v>36</v>
      </c>
    </row>
    <row r="18" spans="1:8" x14ac:dyDescent="0.3">
      <c r="A18" s="24" t="s">
        <v>112</v>
      </c>
      <c r="C18" s="20">
        <v>2.83</v>
      </c>
    </row>
    <row r="19" spans="1:8" x14ac:dyDescent="0.3">
      <c r="A19" s="24" t="s">
        <v>102</v>
      </c>
      <c r="C19" s="20">
        <v>2</v>
      </c>
    </row>
    <row r="20" spans="1:8" x14ac:dyDescent="0.3">
      <c r="C20" s="54"/>
      <c r="D20" s="39">
        <f>SUM(C17:C19)</f>
        <v>40.83</v>
      </c>
      <c r="E20" t="s">
        <v>71</v>
      </c>
      <c r="H20" s="39">
        <f>'Monthly monitoring &amp; reconcilia'!E52</f>
        <v>40.83</v>
      </c>
    </row>
    <row r="21" spans="1:8" x14ac:dyDescent="0.3">
      <c r="A21" s="24" t="s">
        <v>77</v>
      </c>
    </row>
    <row r="22" spans="1:8" x14ac:dyDescent="0.3">
      <c r="A22" t="s">
        <v>148</v>
      </c>
      <c r="C22" s="20">
        <v>8.1300000000000008</v>
      </c>
    </row>
    <row r="23" spans="1:8" x14ac:dyDescent="0.3">
      <c r="A23" t="s">
        <v>112</v>
      </c>
      <c r="C23" s="20">
        <v>1.83</v>
      </c>
    </row>
    <row r="24" spans="1:8" x14ac:dyDescent="0.3">
      <c r="A24" s="76" t="s">
        <v>149</v>
      </c>
      <c r="C24" s="20">
        <v>26.95</v>
      </c>
    </row>
    <row r="25" spans="1:8" x14ac:dyDescent="0.3">
      <c r="A25" t="s">
        <v>102</v>
      </c>
      <c r="C25" s="20">
        <v>2.0699999999999998</v>
      </c>
    </row>
    <row r="26" spans="1:8" x14ac:dyDescent="0.3">
      <c r="C26" s="54"/>
      <c r="D26" s="20">
        <f>SUM(C22:C25)</f>
        <v>38.979999999999997</v>
      </c>
      <c r="E26" t="s">
        <v>71</v>
      </c>
      <c r="H26" s="39">
        <f>'Monthly monitoring &amp; reconcilia'!F52</f>
        <v>38.979999999999997</v>
      </c>
    </row>
    <row r="27" spans="1:8" x14ac:dyDescent="0.3">
      <c r="A27" s="24" t="s">
        <v>78</v>
      </c>
    </row>
    <row r="28" spans="1:8" x14ac:dyDescent="0.3">
      <c r="A28" t="s">
        <v>147</v>
      </c>
      <c r="C28" s="20">
        <v>14</v>
      </c>
    </row>
    <row r="29" spans="1:8" x14ac:dyDescent="0.3">
      <c r="A29" t="s">
        <v>147</v>
      </c>
      <c r="C29" s="20">
        <v>7</v>
      </c>
    </row>
    <row r="30" spans="1:8" x14ac:dyDescent="0.3">
      <c r="A30" t="s">
        <v>147</v>
      </c>
      <c r="C30" s="20">
        <v>64.400000000000006</v>
      </c>
    </row>
    <row r="31" spans="1:8" x14ac:dyDescent="0.3">
      <c r="A31" t="s">
        <v>151</v>
      </c>
      <c r="C31" s="20">
        <v>6</v>
      </c>
    </row>
    <row r="32" spans="1:8" x14ac:dyDescent="0.3">
      <c r="A32" t="s">
        <v>152</v>
      </c>
      <c r="C32" s="20">
        <v>3</v>
      </c>
    </row>
    <row r="33" spans="1:8" x14ac:dyDescent="0.3">
      <c r="A33" t="s">
        <v>102</v>
      </c>
      <c r="C33" s="20">
        <v>2</v>
      </c>
    </row>
    <row r="34" spans="1:8" x14ac:dyDescent="0.3">
      <c r="C34" s="54"/>
      <c r="D34" s="20">
        <f>SUM(C28:C33)</f>
        <v>96.4</v>
      </c>
      <c r="E34" t="s">
        <v>71</v>
      </c>
      <c r="H34" s="39">
        <f>'Monthly monitoring &amp; reconcilia'!G52</f>
        <v>96.4</v>
      </c>
    </row>
    <row r="36" spans="1:8" x14ac:dyDescent="0.3">
      <c r="A36" s="24" t="s">
        <v>79</v>
      </c>
    </row>
    <row r="37" spans="1:8" x14ac:dyDescent="0.3">
      <c r="A37" t="s">
        <v>143</v>
      </c>
      <c r="C37" s="20">
        <v>111.22</v>
      </c>
    </row>
    <row r="38" spans="1:8" x14ac:dyDescent="0.3">
      <c r="A38" t="s">
        <v>144</v>
      </c>
      <c r="C38" s="20">
        <v>2.33</v>
      </c>
    </row>
    <row r="39" spans="1:8" x14ac:dyDescent="0.3">
      <c r="A39" t="s">
        <v>145</v>
      </c>
      <c r="C39" s="20">
        <v>6.59</v>
      </c>
    </row>
    <row r="40" spans="1:8" x14ac:dyDescent="0.3">
      <c r="A40" t="s">
        <v>146</v>
      </c>
      <c r="C40" s="20">
        <v>2.0699999999999998</v>
      </c>
    </row>
    <row r="41" spans="1:8" x14ac:dyDescent="0.3">
      <c r="A41" t="s">
        <v>102</v>
      </c>
      <c r="C41" s="55">
        <v>2</v>
      </c>
    </row>
    <row r="42" spans="1:8" x14ac:dyDescent="0.3">
      <c r="D42" s="39">
        <f>SUM(C37:C41)</f>
        <v>124.21</v>
      </c>
      <c r="E42" t="s">
        <v>71</v>
      </c>
      <c r="H42" s="39">
        <f>'Monthly monitoring &amp; reconcilia'!H52</f>
        <v>124.21</v>
      </c>
    </row>
    <row r="44" spans="1:8" x14ac:dyDescent="0.3">
      <c r="A44" s="24" t="s">
        <v>80</v>
      </c>
    </row>
    <row r="45" spans="1:8" x14ac:dyDescent="0.3">
      <c r="A45" s="24"/>
    </row>
    <row r="46" spans="1:8" x14ac:dyDescent="0.3">
      <c r="A46" s="24"/>
    </row>
    <row r="47" spans="1:8" x14ac:dyDescent="0.3">
      <c r="C47" s="20">
        <v>0</v>
      </c>
    </row>
    <row r="48" spans="1:8" x14ac:dyDescent="0.3">
      <c r="C48" s="54"/>
      <c r="D48" s="56">
        <f>SUM(C47:C47)</f>
        <v>0</v>
      </c>
      <c r="E48" t="s">
        <v>71</v>
      </c>
      <c r="H48" s="39">
        <f>'Monthly monitoring &amp; reconcilia'!I52</f>
        <v>0</v>
      </c>
    </row>
    <row r="50" spans="1:8" x14ac:dyDescent="0.3">
      <c r="A50" s="24" t="s">
        <v>81</v>
      </c>
    </row>
    <row r="51" spans="1:8" x14ac:dyDescent="0.3">
      <c r="A51" s="57"/>
      <c r="C51" s="58"/>
    </row>
    <row r="52" spans="1:8" x14ac:dyDescent="0.3">
      <c r="A52" s="59"/>
      <c r="C52" s="58"/>
    </row>
    <row r="53" spans="1:8" x14ac:dyDescent="0.3">
      <c r="A53" s="57"/>
      <c r="C53" s="58"/>
    </row>
    <row r="54" spans="1:8" x14ac:dyDescent="0.3">
      <c r="A54" s="24"/>
    </row>
    <row r="55" spans="1:8" x14ac:dyDescent="0.3">
      <c r="C55" s="55"/>
    </row>
    <row r="56" spans="1:8" x14ac:dyDescent="0.3">
      <c r="D56" s="39">
        <f>SUM(C51:C55)</f>
        <v>0</v>
      </c>
      <c r="E56" t="s">
        <v>71</v>
      </c>
      <c r="H56" s="39">
        <f>'Monthly monitoring &amp; reconcilia'!J52</f>
        <v>0</v>
      </c>
    </row>
    <row r="58" spans="1:8" x14ac:dyDescent="0.3">
      <c r="A58" s="24" t="s">
        <v>82</v>
      </c>
    </row>
    <row r="59" spans="1:8" x14ac:dyDescent="0.3">
      <c r="A59" s="57"/>
      <c r="C59" s="56"/>
    </row>
    <row r="60" spans="1:8" x14ac:dyDescent="0.3">
      <c r="C60" s="20"/>
    </row>
    <row r="61" spans="1:8" x14ac:dyDescent="0.3">
      <c r="C61" s="55"/>
    </row>
    <row r="62" spans="1:8" x14ac:dyDescent="0.3">
      <c r="D62" s="39">
        <f>SUM(C59:C61)</f>
        <v>0</v>
      </c>
      <c r="E62" t="s">
        <v>71</v>
      </c>
      <c r="H62" s="39">
        <f>'Monthly monitoring &amp; reconcilia'!K52</f>
        <v>0</v>
      </c>
    </row>
    <row r="63" spans="1:8" x14ac:dyDescent="0.3">
      <c r="D63" s="39"/>
    </row>
    <row r="64" spans="1:8" x14ac:dyDescent="0.3">
      <c r="A64" s="24" t="s">
        <v>83</v>
      </c>
      <c r="D64" s="39"/>
    </row>
    <row r="65" spans="1:11" x14ac:dyDescent="0.3">
      <c r="A65" s="24"/>
      <c r="D65" s="39"/>
    </row>
    <row r="66" spans="1:11" x14ac:dyDescent="0.3">
      <c r="A66" s="24"/>
      <c r="D66" s="39"/>
    </row>
    <row r="67" spans="1:11" x14ac:dyDescent="0.3">
      <c r="C67" s="60"/>
      <c r="D67" s="39"/>
    </row>
    <row r="68" spans="1:11" x14ac:dyDescent="0.3">
      <c r="D68" s="39">
        <f>SUM(C67:C68)</f>
        <v>0</v>
      </c>
      <c r="E68" t="s">
        <v>71</v>
      </c>
      <c r="H68" s="39">
        <f>'Monthly monitoring &amp; reconcilia'!L52</f>
        <v>0</v>
      </c>
    </row>
    <row r="70" spans="1:11" x14ac:dyDescent="0.3">
      <c r="A70" s="24" t="s">
        <v>84</v>
      </c>
      <c r="D70" s="39"/>
      <c r="I70" s="61"/>
    </row>
    <row r="71" spans="1:11" x14ac:dyDescent="0.3">
      <c r="A71" s="62"/>
      <c r="B71" s="57"/>
      <c r="C71" s="57"/>
      <c r="D71" s="39"/>
    </row>
    <row r="72" spans="1:11" x14ac:dyDescent="0.3">
      <c r="A72" s="62"/>
      <c r="B72" s="57"/>
      <c r="C72" s="62"/>
      <c r="D72" s="39"/>
    </row>
    <row r="73" spans="1:11" x14ac:dyDescent="0.3">
      <c r="A73" s="62"/>
      <c r="B73" s="62"/>
      <c r="C73" s="62"/>
      <c r="D73" s="39"/>
    </row>
    <row r="74" spans="1:11" x14ac:dyDescent="0.3">
      <c r="A74" s="57"/>
      <c r="B74" s="57"/>
      <c r="C74" s="57"/>
      <c r="D74" s="39"/>
    </row>
    <row r="75" spans="1:11" x14ac:dyDescent="0.3">
      <c r="D75" s="39"/>
    </row>
    <row r="76" spans="1:11" x14ac:dyDescent="0.3">
      <c r="A76" s="62"/>
      <c r="C76" s="23"/>
      <c r="D76" s="39"/>
    </row>
    <row r="77" spans="1:11" x14ac:dyDescent="0.3">
      <c r="C77" s="20"/>
      <c r="D77" s="39"/>
    </row>
    <row r="78" spans="1:11" x14ac:dyDescent="0.3">
      <c r="A78" s="24"/>
      <c r="C78" s="54"/>
      <c r="D78" s="39">
        <f>SUM(C71:C77)</f>
        <v>0</v>
      </c>
      <c r="E78" t="s">
        <v>71</v>
      </c>
      <c r="H78" s="39">
        <f>'Monthly monitoring &amp; reconcilia'!M52</f>
        <v>0</v>
      </c>
    </row>
    <row r="79" spans="1:11" x14ac:dyDescent="0.3">
      <c r="A79" s="24"/>
      <c r="D79" s="39"/>
    </row>
    <row r="80" spans="1:11" x14ac:dyDescent="0.3">
      <c r="A80" s="24" t="s">
        <v>85</v>
      </c>
      <c r="D80" s="39"/>
      <c r="K80" s="37"/>
    </row>
    <row r="81" spans="1:8" x14ac:dyDescent="0.3">
      <c r="A81" s="57"/>
      <c r="C81" s="20"/>
      <c r="D81" s="39"/>
    </row>
    <row r="82" spans="1:8" x14ac:dyDescent="0.3">
      <c r="A82" s="62"/>
      <c r="C82" s="20"/>
      <c r="D82" s="39"/>
    </row>
    <row r="83" spans="1:8" x14ac:dyDescent="0.3">
      <c r="A83" s="24"/>
      <c r="C83" s="20"/>
      <c r="D83" s="39"/>
    </row>
    <row r="84" spans="1:8" x14ac:dyDescent="0.3">
      <c r="C84" s="37"/>
      <c r="D84" s="39"/>
    </row>
    <row r="85" spans="1:8" x14ac:dyDescent="0.3">
      <c r="C85" s="55"/>
      <c r="D85" s="39"/>
    </row>
    <row r="86" spans="1:8" x14ac:dyDescent="0.3">
      <c r="C86" s="20"/>
      <c r="D86" s="39">
        <f>SUM(C81:C84)</f>
        <v>0</v>
      </c>
      <c r="E86" t="s">
        <v>71</v>
      </c>
      <c r="H86" s="39">
        <f>'Monthly monitoring &amp; reconcilia'!N52</f>
        <v>0</v>
      </c>
    </row>
    <row r="87" spans="1:8" x14ac:dyDescent="0.3">
      <c r="C87" s="20"/>
      <c r="D87" s="39"/>
    </row>
    <row r="89" spans="1:8" x14ac:dyDescent="0.3">
      <c r="D89" s="63">
        <f>SUM(D10:D88)</f>
        <v>1037.02</v>
      </c>
      <c r="E89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monitoring &amp; reconcilia</vt:lpstr>
      <vt:lpstr>Reserves</vt:lpstr>
      <vt:lpstr>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2024-09-12T10:48:41Z</cp:lastPrinted>
  <dcterms:created xsi:type="dcterms:W3CDTF">2024-04-30T16:33:23Z</dcterms:created>
  <dcterms:modified xsi:type="dcterms:W3CDTF">2024-10-11T10:53:13Z</dcterms:modified>
</cp:coreProperties>
</file>